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соцтакси" sheetId="1" r:id="rId1"/>
  </sheets>
  <definedNames>
    <definedName name="_xlnm.Print_Titles" localSheetId="0">'с соцтакси'!$4:$8</definedName>
  </definedNames>
  <calcPr fullCalcOnLoad="1"/>
</workbook>
</file>

<file path=xl/sharedStrings.xml><?xml version="1.0" encoding="utf-8"?>
<sst xmlns="http://schemas.openxmlformats.org/spreadsheetml/2006/main" count="336" uniqueCount="199">
  <si>
    <t>Очередной финансовый год</t>
  </si>
  <si>
    <t>в том числе</t>
  </si>
  <si>
    <t>Плановый период</t>
  </si>
  <si>
    <t>1-ый год планового периода</t>
  </si>
  <si>
    <t>2-ой год планового периода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</si>
  <si>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</si>
  <si>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</si>
  <si>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Наименование показателя</t>
  </si>
  <si>
    <t>Всего</t>
  </si>
  <si>
    <t>3. Показатели по поступлениям и выплатам учреждения</t>
  </si>
  <si>
    <t>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</si>
  <si>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</si>
  <si>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</si>
  <si>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</si>
  <si>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</si>
  <si>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Командировочные расходы</t>
  </si>
  <si>
    <t>Меры социальной поддержки, установленные Законами Мурманской области</t>
  </si>
  <si>
    <t>Другие расходы по прочим выплатам</t>
  </si>
  <si>
    <t>Начисления на выплаты по оплате труда</t>
  </si>
  <si>
    <t>Оплата работ, услуг всего</t>
  </si>
  <si>
    <t>Услуги связи, всего</t>
  </si>
  <si>
    <t>Транспортные услуги</t>
  </si>
  <si>
    <t>Другие расходы по транспортным услугам</t>
  </si>
  <si>
    <t>Коммунальные услуги</t>
  </si>
  <si>
    <t>Работы, услуги по содержанию имущества</t>
  </si>
  <si>
    <t>Содержание в чистоте помещений, зданий, дворов, иного имущества</t>
  </si>
  <si>
    <t>Ремонт (текущий и капитальный) и реставрация нефинансовых активов, за исключением недвижимого имущества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</si>
  <si>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</si>
  <si>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Ремонт текущий и капитальный и реставрация нефинансовых активов в части недвижимого имущества</t>
  </si>
  <si>
    <t>Другие расходы по содержанию имущества</t>
  </si>
  <si>
    <t>Прочие работы, услуги</t>
  </si>
  <si>
    <t>Вневедомственная охрана</t>
  </si>
  <si>
    <t>Другие расходы по прочим работам, услугам</t>
  </si>
  <si>
    <t>Поступление нефинансовых активов, всего</t>
  </si>
  <si>
    <t>Компьютерная техника, оргтехника</t>
  </si>
  <si>
    <t>Бытовая техника, мебель</t>
  </si>
  <si>
    <t>Другие расходы на увеличение стоимости основных средств</t>
  </si>
  <si>
    <t>Увеличение стоимости основных средств</t>
  </si>
  <si>
    <t>Увеличение стоимости материальных запасов</t>
  </si>
  <si>
    <t>Медикаменты и перевязочные средства</t>
  </si>
  <si>
    <t>Продукты питания</t>
  </si>
  <si>
    <t>Горючесмазочные материалы</t>
  </si>
  <si>
    <t>Мягкий инвентарь</t>
  </si>
  <si>
    <t>Другие расходы на увеличение стоимости материальных запасов</t>
  </si>
  <si>
    <t>Обеспечение специальной одеждой, обувью и инвентарем отдельных категорий работников государственных областных учреждений социального обслуживания граждан пожилого возраста и инвалидов</t>
  </si>
  <si>
    <t>Арендная плата за пользование имуществом</t>
  </si>
  <si>
    <t>Организация питания</t>
  </si>
  <si>
    <t xml:space="preserve">1.Поступления, всего </t>
  </si>
  <si>
    <t>1.1.Доходы от оказания платных услуг, всего</t>
  </si>
  <si>
    <t>2. Выплаты, всего:</t>
  </si>
  <si>
    <t>В ТОМ ЧИСЛЕ:</t>
  </si>
  <si>
    <t>2.1. Выплаты из доходов от оказания платных услуг, всего</t>
  </si>
  <si>
    <t>2.2. Выплаты по субсидиям на выполнение госзадания, всего</t>
  </si>
  <si>
    <t>2.2.1. На оказание государственных услуг (работ), всего</t>
  </si>
  <si>
    <t xml:space="preserve">2.2.2.  На содержание имущества, всего </t>
  </si>
  <si>
    <t>2.3. Выплаты по целевым субсидиям, всего</t>
  </si>
  <si>
    <t>Остаток средств на окончание периода</t>
  </si>
  <si>
    <t>Услуги связи</t>
  </si>
  <si>
    <t>Оказание материальной помощи лицам без определенного места жительства и лицам, освободившимся из мест лишения свободы</t>
  </si>
  <si>
    <t>Другие расходы на квеличение основных средств</t>
  </si>
  <si>
    <t>2.4.1 Выплаты из приносящей доход деятельности от услуги по обеспечению содержания граждан в стационарах государственных областных учреждений социального обслуживания населения</t>
  </si>
  <si>
    <t>КБК</t>
  </si>
  <si>
    <t>180</t>
  </si>
  <si>
    <t>130</t>
  </si>
  <si>
    <t>Ремонт (текущий и капитальный) и реставрация нефинансовых активов в части недвижимого имущества</t>
  </si>
  <si>
    <t>Услуги в области информационных технологий</t>
  </si>
  <si>
    <t>Оплата труда и начисления на выплаты по оплате труда</t>
  </si>
  <si>
    <t>Компенсация расходов на оплату стоимости проезда  и провоза багажа к месту использования отпуска (отдыха)  и обратно работников учреждения</t>
  </si>
  <si>
    <t>1.5. Иные поступления (добровольные пожертвования)</t>
  </si>
  <si>
    <t>803 0000 0000000 000 000 31004</t>
  </si>
  <si>
    <t>803 0000 0000000 000 000 34099</t>
  </si>
  <si>
    <t>803 1002 6227802 621 241 21201</t>
  </si>
  <si>
    <t>803 1002 6227802 621 241 21202</t>
  </si>
  <si>
    <t>803 1002 6227802 621 241 21299</t>
  </si>
  <si>
    <t>803 1002 6227802 621 241 22201</t>
  </si>
  <si>
    <t>803 1002 6227802 621 241 22299</t>
  </si>
  <si>
    <t>803 0000 0000000 000 000 22501</t>
  </si>
  <si>
    <t>803 0000 0000000 000 000 22505</t>
  </si>
  <si>
    <t>803 0000 0000000 000 000 31005</t>
  </si>
  <si>
    <t>803 0000 0000000 000 000 31099</t>
  </si>
  <si>
    <t>803 0000 0000000 000 000 34002</t>
  </si>
  <si>
    <t>803 0000 0000000 000 000 34004</t>
  </si>
  <si>
    <t>803 0000 0000000 000 000 21201</t>
  </si>
  <si>
    <t>803 0000 0000000 000 000 22201</t>
  </si>
  <si>
    <t>803 0000 0000000 000 000 22604</t>
  </si>
  <si>
    <t>803 0000 0000000 000 000 22605</t>
  </si>
  <si>
    <t>803 0000 0000000 000 000 22699</t>
  </si>
  <si>
    <t>Проведение мероприятий, посвященных Дню пожилых людей</t>
  </si>
  <si>
    <t>803 0000 0000000 000 000 22299</t>
  </si>
  <si>
    <t>803 0000 0000000 000 000 22602</t>
  </si>
  <si>
    <t>Разработка и издание информационных справочников  для пожилых людей о мерах социальной поддержки, предоставляемых по месту проживания</t>
  </si>
  <si>
    <t>Внедрение современных ИКТ в подведомственных учреждениях</t>
  </si>
  <si>
    <t>Государственная программа Мурманской области «Социальная поддержка граждан и развитие социально-трудовых отношений», всего, в том числе:</t>
  </si>
  <si>
    <t>Подпрограмма 1. "Модернизация системы социального обслуживания населения Мурманской области", всего, в том числе:</t>
  </si>
  <si>
    <t>Основное мероприятие 1.2.1. Укрепление материально-технической базы учреждений социального обслуживания населения, открытие и развитие отделений и служб, всего, в том числе:</t>
  </si>
  <si>
    <t>Основное мероприятие 1.2.2. Обеспечение качества и своевременности предоставления услуг населению государственными областными учреждениями системы социального обслуживания населения, всего, в том числе:</t>
  </si>
  <si>
    <t>Основное мероприятие 1.2.3. Устранение предписаний контрольно-надзорных органов, улучшение условий комплексной безопасности в учреждениях системы социального обслуживания населения всего, в том числе:</t>
  </si>
  <si>
    <t>Подпрограмма 2. "Улучшение положения и качества жизни социально уязвимых слоев населения" всего, в том числе:</t>
  </si>
  <si>
    <t>Основное мероприятие 2.2.1. Социальная поддержка граждан в трудной жизненной ситуации и повышение профессиональной компетенции сотрудников учреждения социального обслуживания населения всего, в том числе:</t>
  </si>
  <si>
    <t>Подпрограмма 5 "Обеспечение реализации государственной программы" всего, в том числе:</t>
  </si>
  <si>
    <t>Создание службы «Надомные сиделки» в учреждениях социального обслуживания населения, всего, в том числе:</t>
  </si>
  <si>
    <t>Приобретение автотранспортных  средств для учреждений социального обслуживания населения,  всего, в том числе:</t>
  </si>
  <si>
    <t>Приобретение оборудования и предметов длительного пользования,   всего, в том числе:</t>
  </si>
  <si>
    <t>Расходы по прочим работам услугам</t>
  </si>
  <si>
    <t>Усиление транспортной безопасности в государственных областных учреждениях социального обслуживания населения Мурманской области, в том числе:</t>
  </si>
  <si>
    <t>Улучшение санитарно-эпидемиологических условий в государственных областных учреждениях социального обслуживания населения Мурманской области, в том числе:</t>
  </si>
  <si>
    <t xml:space="preserve"> Повышение противопожарной безопасности  в государственных областных учреждениях социального обслуживания населения Мурманской области, в том числе:</t>
  </si>
  <si>
    <t>Пособия по социальной помощи населению</t>
  </si>
  <si>
    <t>803 1003 0322221 622 262</t>
  </si>
  <si>
    <t>803 0000 0000000 000 211</t>
  </si>
  <si>
    <t>803 0000 0000000 000 213</t>
  </si>
  <si>
    <t>803 1002 0310005 621 210</t>
  </si>
  <si>
    <t>803 1002 0310005 621 211</t>
  </si>
  <si>
    <t>803 1002 0310005 621 212</t>
  </si>
  <si>
    <t>803 1002 0310005 621 213</t>
  </si>
  <si>
    <t>803 1002 0310005 621 220</t>
  </si>
  <si>
    <t>803 1002 0310005 621 221</t>
  </si>
  <si>
    <t>803 1002 0310005 621 222</t>
  </si>
  <si>
    <t>803 1002 0310005 621 223</t>
  </si>
  <si>
    <t>803 1002 0310005 621 241 22501</t>
  </si>
  <si>
    <t>803 1002 0310005 621 241 22502</t>
  </si>
  <si>
    <t>803 1002 0310005 621 241 22503</t>
  </si>
  <si>
    <t>803 1002 0310005 621 241 22505</t>
  </si>
  <si>
    <t>803 1002 0310005 621 241 22599</t>
  </si>
  <si>
    <t>803 1002 0310005 621 241 22602</t>
  </si>
  <si>
    <t>803 1002 0310005 621 241 22603</t>
  </si>
  <si>
    <t>803 1002 0310005 621 241 22604</t>
  </si>
  <si>
    <t>803 1002 0310005 621 241 22699</t>
  </si>
  <si>
    <t>803 1002 0310005 621 241 31005</t>
  </si>
  <si>
    <t>803 1002 0310005 621 241 34001</t>
  </si>
  <si>
    <t>803 1002 0310005 621 241 34002</t>
  </si>
  <si>
    <t>803 1002 0310005 621 241 34003</t>
  </si>
  <si>
    <t>803 1002 0310005 621 241 34004</t>
  </si>
  <si>
    <t>803 1002 0310005 621 241 34099</t>
  </si>
  <si>
    <t>803 1002 0310005 621 224</t>
  </si>
  <si>
    <t>803 1002 0310005 621 225</t>
  </si>
  <si>
    <t>803 1002 0310005 621 226</t>
  </si>
  <si>
    <t>803 1002 0310005 621 290</t>
  </si>
  <si>
    <t>803 1002 0310005 621 300</t>
  </si>
  <si>
    <t>803 1002 0310005 621 310</t>
  </si>
  <si>
    <t>803 1002 0310005 621 340</t>
  </si>
  <si>
    <t>803 1002 0310005 622 310</t>
  </si>
  <si>
    <t>803 1002 0310005 622 340</t>
  </si>
  <si>
    <t>803 1002 0310005 622 212</t>
  </si>
  <si>
    <t>803 1002 0311306 622 212</t>
  </si>
  <si>
    <t>803 1002 0310005 622 226</t>
  </si>
  <si>
    <t>803 1002 0310005 622 225</t>
  </si>
  <si>
    <t>803 1002 0310005 622 221</t>
  </si>
  <si>
    <t>803 1003 0322221 622 226</t>
  </si>
  <si>
    <t>803 1002 0352010 622 225</t>
  </si>
  <si>
    <t>Прочие расходы</t>
  </si>
  <si>
    <t>803 0000 0000000 000 221</t>
  </si>
  <si>
    <t>803 0000 0000000 000 226</t>
  </si>
  <si>
    <t>2</t>
  </si>
  <si>
    <t>3</t>
  </si>
  <si>
    <t>4</t>
  </si>
  <si>
    <t>5</t>
  </si>
  <si>
    <t>Основное мероприятие 5.2.2. Внедрение современных информационно-коммуникационных технологий</t>
  </si>
  <si>
    <t>Остаток средств на начало периода, всего</t>
  </si>
  <si>
    <t>От приносящей доход деятельности, в том числе:</t>
  </si>
  <si>
    <t>804 0000 0000000 000 225</t>
  </si>
  <si>
    <t>Основное мероприятие 2.1.1. Социальная поддержка инвалидов всего, в том числе:</t>
  </si>
  <si>
    <t>803 1002 0352010 622 226</t>
  </si>
  <si>
    <t>803 1002 0352010 622 310</t>
  </si>
  <si>
    <t>803 1002 0325027 622 310</t>
  </si>
  <si>
    <t>1.2. От приносящей доход деятельности, всего</t>
  </si>
  <si>
    <t>1.2.1.Услуги по обеспечению содержания граждан в стационарах государственных областных учреждений социального обслуживания населения</t>
  </si>
  <si>
    <t>1.3.Субсидия на выполнение госзадания, всего</t>
  </si>
  <si>
    <t>1.3.1.На оказание государственных услуг</t>
  </si>
  <si>
    <t>1.3.2.На содержание имущества</t>
  </si>
  <si>
    <t>1.4.Целевые субсидии</t>
  </si>
  <si>
    <t>Обеспечение функционирования и поддержка мультисервисных сетей, програмно аппаратных комплексов, вычеслительной техники, оргтехники и техническое обслуживание</t>
  </si>
  <si>
    <t>803 1002 0310005 621 241 22504</t>
  </si>
  <si>
    <t>Монтаж и установка локальных вычеслительных сетей</t>
  </si>
  <si>
    <t>803 1002 0310005 621 241 22601</t>
  </si>
  <si>
    <t>803 1002 0310005 621 241 22605</t>
  </si>
  <si>
    <t>Вычеслительная техника, оргтехника</t>
  </si>
  <si>
    <t>803 1002 0310005 621 241 31004</t>
  </si>
  <si>
    <t>1.1.1.Иные платные услуги</t>
  </si>
  <si>
    <t>1.1.2.Перевозка граждан службой "Социальное такси"</t>
  </si>
  <si>
    <t>1.1.3.Услуги оказываемые службой "Надомные сиделки"</t>
  </si>
  <si>
    <t>Создание условий доступности в учреждениях социального обслуживания и центрах социальной поддержки населения, подведомственных Министерству труда и социального развития Мурманской области (устройство наружных и внутренних пандусов, оснащение поручнями, кресло-колясками, ходунками и др.)</t>
  </si>
  <si>
    <t>2.1.1 Выплаты из доходов от иных платных услуг:</t>
  </si>
  <si>
    <t>2.1.2. Выплаты из доходов от перевозки граждан службой "Социальное такси"</t>
  </si>
  <si>
    <t>2.1.3 Выплаты из доходов от оказания услуг "Надомные сиделки"</t>
  </si>
  <si>
    <t>2.5 Выплаты от иных поступлений (добровольные пожертвования)</t>
  </si>
  <si>
    <t>000 0000 0000000 000 340</t>
  </si>
  <si>
    <t>000 0000 0000000 000 210</t>
  </si>
  <si>
    <t>000 0000 0000000 000 211</t>
  </si>
  <si>
    <t>000 0000 0000000 000 213</t>
  </si>
  <si>
    <t>000 0000 0000000 000 310</t>
  </si>
  <si>
    <t>000 0000 0000000 000 221</t>
  </si>
  <si>
    <t>000 0000 0000000 000 226</t>
  </si>
  <si>
    <t>000 0000 0000000 000 223</t>
  </si>
  <si>
    <t>000 0000 0000000 000 225</t>
  </si>
  <si>
    <t>000 0000 0000000 000 290</t>
  </si>
  <si>
    <t>000 0000 0000000 000 300</t>
  </si>
  <si>
    <t>000 0000 0000000 000 212</t>
  </si>
  <si>
    <t>000 0000 0000000 000 222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</si>
</sst>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_0000_0000000_000_000_0000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171" fontId="2" fillId="0" borderId="10" xfId="58" applyFont="1" applyFill="1" applyBorder="1" applyAlignment="1">
      <alignment horizontal="center" vertical="center"/>
    </xf>
    <xf numFmtId="171" fontId="0" fillId="0" borderId="10" xfId="58" applyFont="1" applyFill="1" applyBorder="1" applyAlignment="1">
      <alignment horizontal="center" vertical="center"/>
    </xf>
    <xf numFmtId="171" fontId="0" fillId="0" borderId="11" xfId="58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71" fontId="0" fillId="33" borderId="18" xfId="58" applyFont="1" applyFill="1" applyBorder="1" applyAlignment="1">
      <alignment horizontal="center" vertical="center"/>
    </xf>
    <xf numFmtId="0" fontId="0" fillId="0" borderId="14" xfId="0" applyNumberFormat="1" applyFont="1" applyBorder="1" applyAlignment="1" applyProtection="1">
      <alignment horizontal="left" vertical="top" wrapText="1"/>
      <protection locked="0"/>
    </xf>
    <xf numFmtId="171" fontId="2" fillId="0" borderId="10" xfId="58" applyFont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171" fontId="2" fillId="0" borderId="11" xfId="58" applyFont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171" fontId="3" fillId="0" borderId="10" xfId="58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71" fontId="0" fillId="33" borderId="20" xfId="58" applyFont="1" applyFill="1" applyBorder="1" applyAlignment="1">
      <alignment horizontal="center" vertical="center"/>
    </xf>
    <xf numFmtId="171" fontId="0" fillId="0" borderId="10" xfId="58" applyFont="1" applyBorder="1" applyAlignment="1">
      <alignment horizontal="center" vertical="center"/>
    </xf>
    <xf numFmtId="171" fontId="0" fillId="0" borderId="11" xfId="58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171" fontId="2" fillId="33" borderId="18" xfId="58" applyFont="1" applyFill="1" applyBorder="1" applyAlignment="1">
      <alignment horizontal="center" vertical="center"/>
    </xf>
    <xf numFmtId="171" fontId="2" fillId="33" borderId="20" xfId="58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center" vertical="center"/>
    </xf>
    <xf numFmtId="171" fontId="2" fillId="33" borderId="22" xfId="58" applyFont="1" applyFill="1" applyBorder="1" applyAlignment="1">
      <alignment horizontal="center" vertical="center"/>
    </xf>
    <xf numFmtId="171" fontId="0" fillId="33" borderId="22" xfId="58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wrapText="1"/>
    </xf>
    <xf numFmtId="49" fontId="0" fillId="34" borderId="22" xfId="0" applyNumberFormat="1" applyFont="1" applyFill="1" applyBorder="1" applyAlignment="1">
      <alignment horizontal="center" vertical="center"/>
    </xf>
    <xf numFmtId="171" fontId="0" fillId="34" borderId="22" xfId="58" applyFont="1" applyFill="1" applyBorder="1" applyAlignment="1">
      <alignment horizontal="center" vertical="center"/>
    </xf>
    <xf numFmtId="171" fontId="0" fillId="34" borderId="23" xfId="58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171" fontId="0" fillId="34" borderId="10" xfId="58" applyFont="1" applyFill="1" applyBorder="1" applyAlignment="1">
      <alignment horizontal="center" vertical="center"/>
    </xf>
    <xf numFmtId="171" fontId="0" fillId="34" borderId="11" xfId="58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171" fontId="0" fillId="0" borderId="25" xfId="58" applyFont="1" applyFill="1" applyBorder="1" applyAlignment="1">
      <alignment horizontal="center" vertical="center"/>
    </xf>
    <xf numFmtId="171" fontId="0" fillId="0" borderId="26" xfId="58" applyFont="1" applyFill="1" applyBorder="1" applyAlignment="1">
      <alignment horizontal="center" vertical="center"/>
    </xf>
    <xf numFmtId="171" fontId="3" fillId="0" borderId="11" xfId="58" applyFont="1" applyFill="1" applyBorder="1" applyAlignment="1">
      <alignment horizontal="center" vertical="center"/>
    </xf>
    <xf numFmtId="171" fontId="0" fillId="0" borderId="27" xfId="58" applyFont="1" applyFill="1" applyBorder="1" applyAlignment="1">
      <alignment horizontal="center" vertical="center"/>
    </xf>
    <xf numFmtId="171" fontId="0" fillId="0" borderId="28" xfId="58" applyFont="1" applyFill="1" applyBorder="1" applyAlignment="1">
      <alignment horizontal="center" vertical="center"/>
    </xf>
    <xf numFmtId="171" fontId="0" fillId="0" borderId="17" xfId="58" applyFont="1" applyFill="1" applyBorder="1" applyAlignment="1">
      <alignment horizontal="center" vertical="center"/>
    </xf>
    <xf numFmtId="171" fontId="0" fillId="0" borderId="29" xfId="5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49" fontId="3" fillId="0" borderId="25" xfId="0" applyNumberFormat="1" applyFont="1" applyFill="1" applyBorder="1" applyAlignment="1">
      <alignment horizontal="center" vertical="center"/>
    </xf>
    <xf numFmtId="171" fontId="3" fillId="0" borderId="25" xfId="58" applyFont="1" applyFill="1" applyBorder="1" applyAlignment="1">
      <alignment horizontal="center" vertical="center"/>
    </xf>
    <xf numFmtId="171" fontId="3" fillId="0" borderId="26" xfId="58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171" fontId="2" fillId="0" borderId="21" xfId="58" applyFont="1" applyFill="1" applyBorder="1" applyAlignment="1">
      <alignment horizontal="center" vertical="center"/>
    </xf>
    <xf numFmtId="171" fontId="2" fillId="0" borderId="21" xfId="58" applyFont="1" applyBorder="1" applyAlignment="1">
      <alignment horizontal="center" vertical="center"/>
    </xf>
    <xf numFmtId="171" fontId="2" fillId="0" borderId="31" xfId="58" applyFont="1" applyBorder="1" applyAlignment="1">
      <alignment horizontal="center" vertical="center"/>
    </xf>
    <xf numFmtId="43" fontId="3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171" fontId="2" fillId="0" borderId="25" xfId="58" applyFont="1" applyFill="1" applyBorder="1" applyAlignment="1">
      <alignment horizontal="center" vertical="center"/>
    </xf>
    <xf numFmtId="171" fontId="2" fillId="0" borderId="0" xfId="58" applyFont="1" applyAlignment="1">
      <alignment/>
    </xf>
    <xf numFmtId="171" fontId="2" fillId="0" borderId="0" xfId="58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wrapText="1"/>
    </xf>
    <xf numFmtId="0" fontId="0" fillId="0" borderId="19" xfId="0" applyNumberFormat="1" applyFont="1" applyBorder="1" applyAlignment="1" applyProtection="1">
      <alignment vertical="top" wrapText="1"/>
      <protection locked="0"/>
    </xf>
    <xf numFmtId="0" fontId="0" fillId="0" borderId="13" xfId="0" applyNumberFormat="1" applyFont="1" applyFill="1" applyBorder="1" applyAlignment="1" applyProtection="1">
      <alignment horizontal="left" vertical="top" wrapText="1"/>
      <protection locked="0"/>
    </xf>
    <xf numFmtId="171" fontId="2" fillId="0" borderId="0" xfId="58" applyFont="1" applyBorder="1" applyAlignment="1">
      <alignment horizontal="center" vertical="center"/>
    </xf>
    <xf numFmtId="171" fontId="0" fillId="0" borderId="26" xfId="58" applyFont="1" applyBorder="1" applyAlignment="1">
      <alignment horizontal="center" vertical="center"/>
    </xf>
    <xf numFmtId="171" fontId="3" fillId="0" borderId="25" xfId="58" applyFont="1" applyBorder="1" applyAlignment="1">
      <alignment horizontal="center" vertical="center"/>
    </xf>
    <xf numFmtId="0" fontId="3" fillId="0" borderId="14" xfId="0" applyNumberFormat="1" applyFont="1" applyBorder="1" applyAlignment="1" applyProtection="1">
      <alignment horizontal="left" vertical="top" wrapText="1"/>
      <protection locked="0"/>
    </xf>
    <xf numFmtId="171" fontId="2" fillId="0" borderId="25" xfId="58" applyFont="1" applyBorder="1" applyAlignment="1">
      <alignment horizontal="center" vertical="center"/>
    </xf>
    <xf numFmtId="0" fontId="3" fillId="0" borderId="19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171" fontId="3" fillId="0" borderId="10" xfId="58" applyFont="1" applyBorder="1" applyAlignment="1">
      <alignment horizontal="center" vertical="center"/>
    </xf>
    <xf numFmtId="171" fontId="0" fillId="0" borderId="24" xfId="58" applyFont="1" applyFill="1" applyBorder="1" applyAlignment="1">
      <alignment horizontal="center" vertical="center"/>
    </xf>
    <xf numFmtId="171" fontId="0" fillId="0" borderId="25" xfId="58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71" fontId="0" fillId="0" borderId="10" xfId="0" applyNumberFormat="1" applyBorder="1" applyAlignment="1">
      <alignment horizontal="center" vertical="center"/>
    </xf>
    <xf numFmtId="0" fontId="0" fillId="0" borderId="13" xfId="0" applyNumberFormat="1" applyFont="1" applyBorder="1" applyAlignment="1" applyProtection="1">
      <alignment vertical="top" wrapText="1"/>
      <protection locked="0"/>
    </xf>
    <xf numFmtId="49" fontId="0" fillId="0" borderId="27" xfId="0" applyNumberFormat="1" applyFont="1" applyFill="1" applyBorder="1" applyAlignment="1">
      <alignment horizontal="center" vertical="center"/>
    </xf>
    <xf numFmtId="171" fontId="2" fillId="0" borderId="28" xfId="58" applyFont="1" applyFill="1" applyBorder="1" applyAlignment="1">
      <alignment horizontal="center" vertical="center"/>
    </xf>
    <xf numFmtId="171" fontId="0" fillId="34" borderId="27" xfId="5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171" fontId="2" fillId="34" borderId="28" xfId="58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9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49" fontId="2" fillId="0" borderId="25" xfId="0" applyNumberFormat="1" applyFont="1" applyBorder="1" applyAlignment="1">
      <alignment horizontal="center" vertical="center"/>
    </xf>
    <xf numFmtId="171" fontId="2" fillId="0" borderId="25" xfId="58" applyFont="1" applyBorder="1" applyAlignment="1">
      <alignment horizontal="center" vertical="center"/>
    </xf>
    <xf numFmtId="171" fontId="2" fillId="0" borderId="26" xfId="58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1" fontId="0" fillId="0" borderId="10" xfId="58" applyFont="1" applyBorder="1" applyAlignment="1">
      <alignment horizontal="center" vertical="center"/>
    </xf>
    <xf numFmtId="171" fontId="0" fillId="0" borderId="11" xfId="58" applyFont="1" applyBorder="1" applyAlignment="1">
      <alignment horizontal="center" vertical="center"/>
    </xf>
    <xf numFmtId="171" fontId="0" fillId="0" borderId="0" xfId="58" applyAlignment="1">
      <alignment/>
    </xf>
    <xf numFmtId="0" fontId="0" fillId="0" borderId="0" xfId="0" applyFont="1" applyFill="1" applyAlignment="1">
      <alignment/>
    </xf>
    <xf numFmtId="171" fontId="0" fillId="34" borderId="32" xfId="58" applyFont="1" applyFill="1" applyBorder="1" applyAlignment="1">
      <alignment horizontal="center" vertical="center"/>
    </xf>
    <xf numFmtId="171" fontId="0" fillId="34" borderId="33" xfId="58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9" fontId="0" fillId="0" borderId="22" xfId="0" applyNumberFormat="1" applyFont="1" applyFill="1" applyBorder="1" applyAlignment="1">
      <alignment horizontal="center" vertical="center"/>
    </xf>
    <xf numFmtId="171" fontId="2" fillId="0" borderId="22" xfId="58" applyFont="1" applyFill="1" applyBorder="1" applyAlignment="1">
      <alignment horizontal="center" vertical="center"/>
    </xf>
    <xf numFmtId="171" fontId="2" fillId="0" borderId="23" xfId="58" applyFont="1" applyFill="1" applyBorder="1" applyAlignment="1">
      <alignment horizontal="center" vertical="center"/>
    </xf>
    <xf numFmtId="171" fontId="0" fillId="33" borderId="23" xfId="58" applyFont="1" applyFill="1" applyBorder="1" applyAlignment="1">
      <alignment horizontal="center" vertical="center"/>
    </xf>
    <xf numFmtId="49" fontId="0" fillId="34" borderId="32" xfId="0" applyNumberFormat="1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NumberFormat="1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171" fontId="2" fillId="34" borderId="11" xfId="58" applyFont="1" applyFill="1" applyBorder="1" applyAlignment="1">
      <alignment horizontal="center" vertical="center"/>
    </xf>
    <xf numFmtId="0" fontId="0" fillId="0" borderId="35" xfId="0" applyNumberFormat="1" applyFont="1" applyBorder="1" applyAlignment="1" applyProtection="1">
      <alignment horizontal="left" vertical="top" wrapText="1"/>
      <protection locked="0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171" fontId="0" fillId="0" borderId="24" xfId="58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 wrapText="1"/>
    </xf>
    <xf numFmtId="0" fontId="3" fillId="0" borderId="34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171" fontId="0" fillId="34" borderId="32" xfId="58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71" fontId="0" fillId="0" borderId="27" xfId="58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71" fontId="0" fillId="34" borderId="33" xfId="58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9" fontId="3" fillId="0" borderId="32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171" fontId="2" fillId="0" borderId="28" xfId="58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9" fontId="0" fillId="0" borderId="2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0"/>
  <sheetViews>
    <sheetView tabSelected="1" zoomScalePageLayoutView="0" workbookViewId="0" topLeftCell="A107">
      <selection activeCell="B200" sqref="B200"/>
    </sheetView>
  </sheetViews>
  <sheetFormatPr defaultColWidth="13.28125" defaultRowHeight="12.75"/>
  <cols>
    <col min="1" max="1" width="39.7109375" style="0" customWidth="1"/>
    <col min="2" max="2" width="26.140625" style="24" customWidth="1"/>
    <col min="3" max="3" width="15.140625" style="0" customWidth="1"/>
    <col min="4" max="4" width="14.7109375" style="0" customWidth="1"/>
    <col min="5" max="5" width="14.8515625" style="0" customWidth="1"/>
    <col min="6" max="7" width="14.7109375" style="0" customWidth="1"/>
    <col min="8" max="8" width="14.00390625" style="0" customWidth="1"/>
    <col min="9" max="10" width="14.140625" style="0" customWidth="1"/>
    <col min="11" max="11" width="12.421875" style="0" customWidth="1"/>
    <col min="12" max="12" width="15.7109375" style="0" customWidth="1"/>
    <col min="13" max="13" width="16.00390625" style="0" customWidth="1"/>
    <col min="14" max="14" width="13.57421875" style="0" customWidth="1"/>
    <col min="15" max="99" width="12.28125" style="0" customWidth="1"/>
  </cols>
  <sheetData>
    <row r="2" spans="1:11" ht="15.75">
      <c r="A2" s="164" t="s">
        <v>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ht="13.5" thickBot="1"/>
    <row r="4" spans="1:11" ht="15" customHeight="1">
      <c r="A4" s="165" t="s">
        <v>7</v>
      </c>
      <c r="B4" s="167" t="s">
        <v>61</v>
      </c>
      <c r="C4" s="168" t="s">
        <v>0</v>
      </c>
      <c r="D4" s="169"/>
      <c r="E4" s="169"/>
      <c r="F4" s="168" t="s">
        <v>2</v>
      </c>
      <c r="G4" s="169"/>
      <c r="H4" s="169"/>
      <c r="I4" s="169"/>
      <c r="J4" s="169"/>
      <c r="K4" s="170"/>
    </row>
    <row r="5" spans="1:11" ht="12.75" customHeight="1">
      <c r="A5" s="166"/>
      <c r="B5" s="162"/>
      <c r="C5" s="147" t="s">
        <v>8</v>
      </c>
      <c r="D5" s="147" t="s">
        <v>1</v>
      </c>
      <c r="E5" s="147"/>
      <c r="F5" s="161" t="s">
        <v>3</v>
      </c>
      <c r="G5" s="161"/>
      <c r="H5" s="161"/>
      <c r="I5" s="161" t="s">
        <v>4</v>
      </c>
      <c r="J5" s="162"/>
      <c r="K5" s="155"/>
    </row>
    <row r="6" spans="1:11" ht="12.75">
      <c r="A6" s="166"/>
      <c r="B6" s="162"/>
      <c r="C6" s="147"/>
      <c r="D6" s="147"/>
      <c r="E6" s="147"/>
      <c r="F6" s="147" t="s">
        <v>8</v>
      </c>
      <c r="G6" s="154" t="s">
        <v>1</v>
      </c>
      <c r="H6" s="154"/>
      <c r="I6" s="147" t="s">
        <v>8</v>
      </c>
      <c r="J6" s="154" t="s">
        <v>1</v>
      </c>
      <c r="K6" s="155"/>
    </row>
    <row r="7" spans="1:11" ht="102" customHeight="1">
      <c r="A7" s="166"/>
      <c r="B7" s="162"/>
      <c r="C7" s="147"/>
      <c r="D7" s="1" t="s">
        <v>5</v>
      </c>
      <c r="E7" s="1" t="s">
        <v>6</v>
      </c>
      <c r="F7" s="147"/>
      <c r="G7" s="1" t="s">
        <v>5</v>
      </c>
      <c r="H7" s="1" t="s">
        <v>6</v>
      </c>
      <c r="I7" s="147"/>
      <c r="J7" s="1" t="s">
        <v>5</v>
      </c>
      <c r="K7" s="9" t="s">
        <v>6</v>
      </c>
    </row>
    <row r="8" spans="1:11" ht="13.5" thickBot="1">
      <c r="A8" s="102">
        <v>1</v>
      </c>
      <c r="B8" s="103" t="s">
        <v>153</v>
      </c>
      <c r="C8" s="100">
        <v>3</v>
      </c>
      <c r="D8" s="100">
        <v>2</v>
      </c>
      <c r="E8" s="103" t="s">
        <v>154</v>
      </c>
      <c r="F8" s="100">
        <v>4</v>
      </c>
      <c r="G8" s="100">
        <v>3</v>
      </c>
      <c r="H8" s="103" t="s">
        <v>155</v>
      </c>
      <c r="I8" s="100">
        <v>5</v>
      </c>
      <c r="J8" s="100">
        <v>4</v>
      </c>
      <c r="K8" s="104" t="s">
        <v>156</v>
      </c>
    </row>
    <row r="9" spans="1:11" ht="25.5">
      <c r="A9" s="10" t="s">
        <v>158</v>
      </c>
      <c r="B9" s="115"/>
      <c r="C9" s="109">
        <v>282582.63</v>
      </c>
      <c r="D9" s="109">
        <f>C9</f>
        <v>282582.63</v>
      </c>
      <c r="E9" s="110"/>
      <c r="F9" s="110"/>
      <c r="G9" s="110"/>
      <c r="H9" s="110"/>
      <c r="I9" s="110"/>
      <c r="J9" s="110"/>
      <c r="K9" s="111"/>
    </row>
    <row r="10" spans="1:11" ht="12.75">
      <c r="A10" s="11" t="s">
        <v>10</v>
      </c>
      <c r="B10" s="117"/>
      <c r="C10" s="118"/>
      <c r="D10" s="118"/>
      <c r="E10" s="119"/>
      <c r="F10" s="119"/>
      <c r="G10" s="119"/>
      <c r="H10" s="119"/>
      <c r="I10" s="119"/>
      <c r="J10" s="119"/>
      <c r="K10" s="120"/>
    </row>
    <row r="11" spans="1:11" ht="25.5">
      <c r="A11" s="12" t="s">
        <v>159</v>
      </c>
      <c r="B11" s="117"/>
      <c r="C11" s="118">
        <v>282582.63</v>
      </c>
      <c r="D11" s="118">
        <f>C11</f>
        <v>282582.63</v>
      </c>
      <c r="E11" s="119"/>
      <c r="F11" s="119"/>
      <c r="G11" s="119"/>
      <c r="H11" s="119"/>
      <c r="I11" s="119"/>
      <c r="J11" s="119"/>
      <c r="K11" s="120"/>
    </row>
    <row r="12" spans="1:11" ht="26.25" thickBot="1">
      <c r="A12" s="18" t="s">
        <v>38</v>
      </c>
      <c r="B12" s="29" t="s">
        <v>186</v>
      </c>
      <c r="C12" s="112">
        <v>282582.63</v>
      </c>
      <c r="D12" s="112">
        <f>C12</f>
        <v>282582.63</v>
      </c>
      <c r="E12" s="113"/>
      <c r="F12" s="113"/>
      <c r="G12" s="113"/>
      <c r="H12" s="113"/>
      <c r="I12" s="113"/>
      <c r="J12" s="113"/>
      <c r="K12" s="114"/>
    </row>
    <row r="13" spans="1:12" ht="20.25" customHeight="1">
      <c r="A13" s="105" t="s">
        <v>47</v>
      </c>
      <c r="B13" s="106"/>
      <c r="C13" s="107">
        <f>C15+C23+C27+C20+C28</f>
        <v>78854675.33</v>
      </c>
      <c r="D13" s="107">
        <f>D15+D23+D27+D20+D28</f>
        <v>78854675.33</v>
      </c>
      <c r="E13" s="107">
        <f aca="true" t="shared" si="0" ref="E13:J13">E15+E18+E23+E27+E20+E28</f>
        <v>0</v>
      </c>
      <c r="F13" s="107">
        <f t="shared" si="0"/>
        <v>86309600</v>
      </c>
      <c r="G13" s="107">
        <f t="shared" si="0"/>
        <v>86309600</v>
      </c>
      <c r="H13" s="107">
        <f t="shared" si="0"/>
        <v>0</v>
      </c>
      <c r="I13" s="107">
        <f t="shared" si="0"/>
        <v>96038300.00144</v>
      </c>
      <c r="J13" s="107">
        <f t="shared" si="0"/>
        <v>96038300.00144</v>
      </c>
      <c r="K13" s="108">
        <f>K15+K23+K27+K20</f>
        <v>0</v>
      </c>
      <c r="L13" s="81"/>
    </row>
    <row r="14" spans="1:12" ht="12.75">
      <c r="A14" s="11" t="s">
        <v>10</v>
      </c>
      <c r="B14" s="25"/>
      <c r="C14" s="121"/>
      <c r="D14" s="121"/>
      <c r="E14" s="121"/>
      <c r="F14" s="121"/>
      <c r="G14" s="121"/>
      <c r="H14" s="121"/>
      <c r="I14" s="121"/>
      <c r="J14" s="121"/>
      <c r="K14" s="122"/>
      <c r="L14" s="123"/>
    </row>
    <row r="15" spans="1:12" s="2" customFormat="1" ht="27.75" customHeight="1">
      <c r="A15" s="12" t="s">
        <v>48</v>
      </c>
      <c r="B15" s="26">
        <v>130</v>
      </c>
      <c r="C15" s="32">
        <f>C30</f>
        <v>140563.97</v>
      </c>
      <c r="D15" s="32">
        <f>C15</f>
        <v>140563.97</v>
      </c>
      <c r="E15" s="32">
        <v>0</v>
      </c>
      <c r="F15" s="32">
        <f>F30</f>
        <v>160000</v>
      </c>
      <c r="G15" s="32">
        <f>F15</f>
        <v>160000</v>
      </c>
      <c r="H15" s="32"/>
      <c r="I15" s="32">
        <f>I30</f>
        <v>160000.00144</v>
      </c>
      <c r="J15" s="32">
        <f>I15</f>
        <v>160000.00144</v>
      </c>
      <c r="K15" s="34"/>
      <c r="L15" s="76"/>
    </row>
    <row r="16" spans="1:12" s="2" customFormat="1" ht="15.75" customHeight="1">
      <c r="A16" s="11" t="s">
        <v>10</v>
      </c>
      <c r="B16" s="26"/>
      <c r="C16" s="32"/>
      <c r="D16" s="32"/>
      <c r="E16" s="32"/>
      <c r="F16" s="32"/>
      <c r="G16" s="32"/>
      <c r="H16" s="32"/>
      <c r="I16" s="32"/>
      <c r="J16" s="32"/>
      <c r="K16" s="34"/>
      <c r="L16" s="76"/>
    </row>
    <row r="17" spans="1:12" s="2" customFormat="1" ht="15.75" customHeight="1">
      <c r="A17" s="137" t="s">
        <v>178</v>
      </c>
      <c r="B17" s="26" t="s">
        <v>63</v>
      </c>
      <c r="C17" s="41">
        <f>C32</f>
        <v>86849.61</v>
      </c>
      <c r="D17" s="41">
        <f aca="true" t="shared" si="1" ref="D17:J17">D32</f>
        <v>86849.61</v>
      </c>
      <c r="E17" s="41">
        <f t="shared" si="1"/>
        <v>0</v>
      </c>
      <c r="F17" s="41">
        <f t="shared" si="1"/>
        <v>160000</v>
      </c>
      <c r="G17" s="41">
        <f t="shared" si="1"/>
        <v>160000</v>
      </c>
      <c r="H17" s="41">
        <f t="shared" si="1"/>
        <v>0</v>
      </c>
      <c r="I17" s="41">
        <f t="shared" si="1"/>
        <v>160000.00144</v>
      </c>
      <c r="J17" s="41">
        <f t="shared" si="1"/>
        <v>160000.00144</v>
      </c>
      <c r="K17" s="34"/>
      <c r="L17" s="76"/>
    </row>
    <row r="18" spans="1:12" s="2" customFormat="1" ht="26.25" customHeight="1">
      <c r="A18" s="11" t="s">
        <v>179</v>
      </c>
      <c r="B18" s="26" t="s">
        <v>63</v>
      </c>
      <c r="C18" s="41">
        <f aca="true" t="shared" si="2" ref="C18:J18">C44</f>
        <v>10704.78</v>
      </c>
      <c r="D18" s="41">
        <f t="shared" si="2"/>
        <v>10704.78</v>
      </c>
      <c r="E18" s="41">
        <f t="shared" si="2"/>
        <v>0</v>
      </c>
      <c r="F18" s="41">
        <f t="shared" si="2"/>
        <v>0</v>
      </c>
      <c r="G18" s="41">
        <f t="shared" si="2"/>
        <v>0</v>
      </c>
      <c r="H18" s="41">
        <f t="shared" si="2"/>
        <v>0</v>
      </c>
      <c r="I18" s="41">
        <f t="shared" si="2"/>
        <v>0</v>
      </c>
      <c r="J18" s="41">
        <f t="shared" si="2"/>
        <v>0</v>
      </c>
      <c r="K18" s="34"/>
      <c r="L18" s="76"/>
    </row>
    <row r="19" spans="1:12" s="2" customFormat="1" ht="28.5" customHeight="1">
      <c r="A19" s="11" t="s">
        <v>180</v>
      </c>
      <c r="B19" s="26" t="s">
        <v>63</v>
      </c>
      <c r="C19" s="41">
        <f>C51</f>
        <v>43009.58</v>
      </c>
      <c r="D19" s="41">
        <f aca="true" t="shared" si="3" ref="D19:J19">D51</f>
        <v>43009.58</v>
      </c>
      <c r="E19" s="41">
        <f t="shared" si="3"/>
        <v>0</v>
      </c>
      <c r="F19" s="41">
        <f t="shared" si="3"/>
        <v>0</v>
      </c>
      <c r="G19" s="41">
        <f t="shared" si="3"/>
        <v>0</v>
      </c>
      <c r="H19" s="41">
        <f t="shared" si="3"/>
        <v>0</v>
      </c>
      <c r="I19" s="41">
        <f t="shared" si="3"/>
        <v>0</v>
      </c>
      <c r="J19" s="41">
        <f t="shared" si="3"/>
        <v>0</v>
      </c>
      <c r="K19" s="34"/>
      <c r="L19" s="76"/>
    </row>
    <row r="20" spans="1:12" ht="25.5">
      <c r="A20" s="12" t="s">
        <v>165</v>
      </c>
      <c r="B20" s="26" t="s">
        <v>63</v>
      </c>
      <c r="C20" s="21">
        <f>C22</f>
        <v>3012358.64</v>
      </c>
      <c r="D20" s="21">
        <f>D22</f>
        <v>3012358.64</v>
      </c>
      <c r="E20" s="21"/>
      <c r="F20" s="21">
        <f>F22</f>
        <v>3100000</v>
      </c>
      <c r="G20" s="21">
        <f>G22</f>
        <v>3100000</v>
      </c>
      <c r="H20" s="21"/>
      <c r="I20" s="21">
        <f>I22</f>
        <v>3200000</v>
      </c>
      <c r="J20" s="21">
        <f>J22</f>
        <v>3200000</v>
      </c>
      <c r="K20" s="34">
        <f>K22+K28</f>
        <v>0</v>
      </c>
      <c r="L20" s="123"/>
    </row>
    <row r="21" spans="1:12" ht="12.75">
      <c r="A21" s="11" t="s">
        <v>10</v>
      </c>
      <c r="B21" s="26"/>
      <c r="C21" s="32"/>
      <c r="D21" s="32"/>
      <c r="E21" s="32"/>
      <c r="F21" s="32"/>
      <c r="G21" s="32"/>
      <c r="H21" s="32"/>
      <c r="I21" s="32"/>
      <c r="J21" s="32"/>
      <c r="K21" s="34"/>
      <c r="L21" s="123"/>
    </row>
    <row r="22" spans="1:12" ht="51">
      <c r="A22" s="11" t="s">
        <v>166</v>
      </c>
      <c r="B22" s="26" t="s">
        <v>63</v>
      </c>
      <c r="C22" s="41">
        <f>C160-282582.63</f>
        <v>3012358.64</v>
      </c>
      <c r="D22" s="41">
        <f>C22</f>
        <v>3012358.64</v>
      </c>
      <c r="E22" s="41">
        <f aca="true" t="shared" si="4" ref="E22:K22">E160</f>
        <v>0</v>
      </c>
      <c r="F22" s="41">
        <f t="shared" si="4"/>
        <v>3100000</v>
      </c>
      <c r="G22" s="41">
        <f t="shared" si="4"/>
        <v>3100000</v>
      </c>
      <c r="H22" s="41">
        <f t="shared" si="4"/>
        <v>0</v>
      </c>
      <c r="I22" s="41">
        <f t="shared" si="4"/>
        <v>3200000</v>
      </c>
      <c r="J22" s="41">
        <f t="shared" si="4"/>
        <v>3200000</v>
      </c>
      <c r="K22" s="42">
        <f t="shared" si="4"/>
        <v>0</v>
      </c>
      <c r="L22" s="123"/>
    </row>
    <row r="23" spans="1:12" ht="27" customHeight="1">
      <c r="A23" s="12" t="s">
        <v>167</v>
      </c>
      <c r="B23" s="26">
        <v>180</v>
      </c>
      <c r="C23" s="32">
        <f>C25+C26</f>
        <v>69016600</v>
      </c>
      <c r="D23" s="32">
        <f>D25+D26</f>
        <v>69016600</v>
      </c>
      <c r="E23" s="32">
        <f>E25+E26</f>
        <v>0</v>
      </c>
      <c r="F23" s="32">
        <f>F25+F26</f>
        <v>77362300</v>
      </c>
      <c r="G23" s="32">
        <f>G25+G26</f>
        <v>77362300</v>
      </c>
      <c r="H23" s="32">
        <f>I23-I56</f>
        <v>0</v>
      </c>
      <c r="I23" s="32">
        <f>I25+I26</f>
        <v>89301600</v>
      </c>
      <c r="J23" s="32">
        <f>J25+J26</f>
        <v>89301600</v>
      </c>
      <c r="K23" s="34">
        <f>K25+K26</f>
        <v>0</v>
      </c>
      <c r="L23" s="123"/>
    </row>
    <row r="24" spans="1:12" ht="12.75">
      <c r="A24" s="11" t="s">
        <v>10</v>
      </c>
      <c r="B24" s="26"/>
      <c r="C24" s="32"/>
      <c r="D24" s="32"/>
      <c r="E24" s="32"/>
      <c r="F24" s="32"/>
      <c r="G24" s="32"/>
      <c r="H24" s="32"/>
      <c r="I24" s="32"/>
      <c r="J24" s="32"/>
      <c r="K24" s="34"/>
      <c r="L24" s="123"/>
    </row>
    <row r="25" spans="1:12" ht="12.75">
      <c r="A25" s="11" t="s">
        <v>168</v>
      </c>
      <c r="B25" s="26">
        <v>180</v>
      </c>
      <c r="C25" s="41">
        <f aca="true" t="shared" si="5" ref="C25:K25">C57</f>
        <v>68172900</v>
      </c>
      <c r="D25" s="41">
        <f t="shared" si="5"/>
        <v>68172900</v>
      </c>
      <c r="E25" s="41">
        <f t="shared" si="5"/>
        <v>0</v>
      </c>
      <c r="F25" s="41">
        <f t="shared" si="5"/>
        <v>76432500</v>
      </c>
      <c r="G25" s="41">
        <f t="shared" si="5"/>
        <v>76432500</v>
      </c>
      <c r="H25" s="41">
        <f t="shared" si="5"/>
        <v>0</v>
      </c>
      <c r="I25" s="41">
        <f t="shared" si="5"/>
        <v>88297500</v>
      </c>
      <c r="J25" s="41">
        <f t="shared" si="5"/>
        <v>88297500</v>
      </c>
      <c r="K25" s="34">
        <f t="shared" si="5"/>
        <v>0</v>
      </c>
      <c r="L25" s="123"/>
    </row>
    <row r="26" spans="1:12" ht="12.75">
      <c r="A26" s="11" t="s">
        <v>169</v>
      </c>
      <c r="B26" s="26">
        <v>180</v>
      </c>
      <c r="C26" s="41">
        <f aca="true" t="shared" si="6" ref="C26:K26">C107</f>
        <v>843700</v>
      </c>
      <c r="D26" s="41">
        <f t="shared" si="6"/>
        <v>843700</v>
      </c>
      <c r="E26" s="41">
        <f t="shared" si="6"/>
        <v>0</v>
      </c>
      <c r="F26" s="41">
        <f t="shared" si="6"/>
        <v>929800</v>
      </c>
      <c r="G26" s="41">
        <f t="shared" si="6"/>
        <v>929800</v>
      </c>
      <c r="H26" s="41">
        <f t="shared" si="6"/>
        <v>0</v>
      </c>
      <c r="I26" s="41">
        <f t="shared" si="6"/>
        <v>1004100</v>
      </c>
      <c r="J26" s="41">
        <f t="shared" si="6"/>
        <v>1004100</v>
      </c>
      <c r="K26" s="34">
        <f t="shared" si="6"/>
        <v>0</v>
      </c>
      <c r="L26" s="123"/>
    </row>
    <row r="27" spans="1:12" ht="12.75">
      <c r="A27" s="12" t="s">
        <v>170</v>
      </c>
      <c r="B27" s="26" t="s">
        <v>62</v>
      </c>
      <c r="C27" s="32">
        <f aca="true" t="shared" si="7" ref="C27:K27">C110</f>
        <v>5349152.72</v>
      </c>
      <c r="D27" s="32">
        <f t="shared" si="7"/>
        <v>5349152.72</v>
      </c>
      <c r="E27" s="32">
        <f t="shared" si="7"/>
        <v>0</v>
      </c>
      <c r="F27" s="32">
        <f t="shared" si="7"/>
        <v>5687300</v>
      </c>
      <c r="G27" s="32">
        <f t="shared" si="7"/>
        <v>5687300</v>
      </c>
      <c r="H27" s="32">
        <f t="shared" si="7"/>
        <v>0</v>
      </c>
      <c r="I27" s="32">
        <f t="shared" si="7"/>
        <v>3376700</v>
      </c>
      <c r="J27" s="32">
        <f t="shared" si="7"/>
        <v>3376700</v>
      </c>
      <c r="K27" s="34">
        <f t="shared" si="7"/>
        <v>0</v>
      </c>
      <c r="L27" s="123"/>
    </row>
    <row r="28" spans="1:12" ht="30" customHeight="1" thickBot="1">
      <c r="A28" s="69" t="s">
        <v>68</v>
      </c>
      <c r="B28" s="43" t="s">
        <v>62</v>
      </c>
      <c r="C28" s="70">
        <f>C176</f>
        <v>1336000</v>
      </c>
      <c r="D28" s="71">
        <f>D176</f>
        <v>1336000</v>
      </c>
      <c r="E28" s="71"/>
      <c r="F28" s="71">
        <f>F176</f>
        <v>0</v>
      </c>
      <c r="G28" s="71">
        <f>G176</f>
        <v>0</v>
      </c>
      <c r="H28" s="71">
        <v>0</v>
      </c>
      <c r="I28" s="70">
        <v>0</v>
      </c>
      <c r="J28" s="71">
        <v>0</v>
      </c>
      <c r="K28" s="72">
        <v>0</v>
      </c>
      <c r="L28" s="77"/>
    </row>
    <row r="29" spans="1:11" s="6" customFormat="1" ht="17.25" customHeight="1" thickBot="1">
      <c r="A29" s="19" t="s">
        <v>49</v>
      </c>
      <c r="B29" s="44"/>
      <c r="C29" s="45">
        <f>C30+C56+C110+C160+C176</f>
        <v>79137257.96</v>
      </c>
      <c r="D29" s="45">
        <f>D30+D56+D110+D160+D176</f>
        <v>79137257.96</v>
      </c>
      <c r="E29" s="45">
        <f aca="true" t="shared" si="8" ref="E29:K29">E30+E44+E56+E110+E160+E176</f>
        <v>0</v>
      </c>
      <c r="F29" s="45">
        <f t="shared" si="8"/>
        <v>86309600</v>
      </c>
      <c r="G29" s="45">
        <f t="shared" si="8"/>
        <v>86309600</v>
      </c>
      <c r="H29" s="45">
        <f t="shared" si="8"/>
        <v>0</v>
      </c>
      <c r="I29" s="45">
        <f t="shared" si="8"/>
        <v>96038300.00144</v>
      </c>
      <c r="J29" s="45">
        <f t="shared" si="8"/>
        <v>96038300.00144</v>
      </c>
      <c r="K29" s="45">
        <f t="shared" si="8"/>
        <v>0</v>
      </c>
    </row>
    <row r="30" spans="1:11" s="6" customFormat="1" ht="26.25" thickBot="1">
      <c r="A30" s="20" t="s">
        <v>51</v>
      </c>
      <c r="B30" s="47"/>
      <c r="C30" s="48">
        <f>C32+C44+C51</f>
        <v>140563.97</v>
      </c>
      <c r="D30" s="48">
        <f aca="true" t="shared" si="9" ref="D30:J30">D32+D44+D51</f>
        <v>140563.97</v>
      </c>
      <c r="E30" s="48">
        <f t="shared" si="9"/>
        <v>0</v>
      </c>
      <c r="F30" s="48">
        <f t="shared" si="9"/>
        <v>160000</v>
      </c>
      <c r="G30" s="48">
        <f t="shared" si="9"/>
        <v>160000</v>
      </c>
      <c r="H30" s="48">
        <f t="shared" si="9"/>
        <v>0</v>
      </c>
      <c r="I30" s="48">
        <f t="shared" si="9"/>
        <v>160000.00144</v>
      </c>
      <c r="J30" s="48">
        <f t="shared" si="9"/>
        <v>160000.00144</v>
      </c>
      <c r="K30" s="48">
        <f>K32+K44</f>
        <v>0</v>
      </c>
    </row>
    <row r="31" spans="1:11" s="6" customFormat="1" ht="13.5" thickBot="1">
      <c r="A31" s="50" t="s">
        <v>10</v>
      </c>
      <c r="B31" s="51"/>
      <c r="C31" s="52"/>
      <c r="D31" s="52"/>
      <c r="E31" s="52"/>
      <c r="F31" s="52"/>
      <c r="G31" s="52"/>
      <c r="H31" s="52"/>
      <c r="I31" s="52"/>
      <c r="J31" s="52"/>
      <c r="K31" s="53"/>
    </row>
    <row r="32" spans="1:11" s="6" customFormat="1" ht="26.25" thickBot="1">
      <c r="A32" s="133" t="s">
        <v>182</v>
      </c>
      <c r="B32" s="132"/>
      <c r="C32" s="129">
        <f>C36+C37+C38+C39+C40+C41+C42</f>
        <v>86849.61</v>
      </c>
      <c r="D32" s="129">
        <f>D36+D37+D38+D39+D40+D41+D42</f>
        <v>86849.61</v>
      </c>
      <c r="E32" s="125"/>
      <c r="F32" s="129">
        <f>F36+F37+F38+F39+F40+F41+F42</f>
        <v>160000</v>
      </c>
      <c r="G32" s="129">
        <f>G36+G37+G38+G39+G40+G41+G42</f>
        <v>160000</v>
      </c>
      <c r="H32" s="125"/>
      <c r="I32" s="129">
        <f>I36+I37+I38+I39+I40+I41+I42</f>
        <v>160000.00144</v>
      </c>
      <c r="J32" s="129">
        <f>J36+J37+J38+J39+J40+J41+J42</f>
        <v>160000.00144</v>
      </c>
      <c r="K32" s="126"/>
    </row>
    <row r="33" spans="1:11" s="6" customFormat="1" ht="12.75">
      <c r="A33" s="145" t="s">
        <v>11</v>
      </c>
      <c r="B33" s="158" t="s">
        <v>187</v>
      </c>
      <c r="C33" s="148">
        <f>C36+C37</f>
        <v>52109.659999999996</v>
      </c>
      <c r="D33" s="148">
        <f>C33</f>
        <v>52109.659999999996</v>
      </c>
      <c r="E33" s="148"/>
      <c r="F33" s="148">
        <f>F36+F37</f>
        <v>96000</v>
      </c>
      <c r="G33" s="148">
        <f>F33</f>
        <v>96000</v>
      </c>
      <c r="H33" s="148"/>
      <c r="I33" s="148">
        <v>96000</v>
      </c>
      <c r="J33" s="148">
        <v>96000</v>
      </c>
      <c r="K33" s="156"/>
    </row>
    <row r="34" spans="1:11" s="6" customFormat="1" ht="13.5" customHeight="1">
      <c r="A34" s="146"/>
      <c r="B34" s="159"/>
      <c r="C34" s="149"/>
      <c r="D34" s="149"/>
      <c r="E34" s="149"/>
      <c r="F34" s="149"/>
      <c r="G34" s="149"/>
      <c r="H34" s="149"/>
      <c r="I34" s="149"/>
      <c r="J34" s="149"/>
      <c r="K34" s="157"/>
    </row>
    <row r="35" spans="1:11" s="6" customFormat="1" ht="13.5" customHeight="1">
      <c r="A35" s="38" t="s">
        <v>12</v>
      </c>
      <c r="B35" s="54"/>
      <c r="C35" s="55"/>
      <c r="D35" s="55"/>
      <c r="E35" s="55"/>
      <c r="F35" s="55"/>
      <c r="G35" s="55"/>
      <c r="H35" s="55"/>
      <c r="I35" s="55"/>
      <c r="J35" s="55"/>
      <c r="K35" s="56"/>
    </row>
    <row r="36" spans="1:11" s="6" customFormat="1" ht="13.5" customHeight="1">
      <c r="A36" s="38" t="s">
        <v>13</v>
      </c>
      <c r="B36" s="27" t="s">
        <v>188</v>
      </c>
      <c r="C36" s="55">
        <f>40022.84</f>
        <v>40022.84</v>
      </c>
      <c r="D36" s="55">
        <f aca="true" t="shared" si="10" ref="D36:D42">C36</f>
        <v>40022.84</v>
      </c>
      <c r="E36" s="55"/>
      <c r="F36" s="55">
        <v>73732.72</v>
      </c>
      <c r="G36" s="55">
        <f>F36</f>
        <v>73732.72</v>
      </c>
      <c r="H36" s="55"/>
      <c r="I36" s="55">
        <v>73732.72</v>
      </c>
      <c r="J36" s="55">
        <v>73732.72</v>
      </c>
      <c r="K36" s="138"/>
    </row>
    <row r="37" spans="1:11" s="6" customFormat="1" ht="13.5" customHeight="1">
      <c r="A37" s="98" t="s">
        <v>18</v>
      </c>
      <c r="B37" s="95" t="s">
        <v>189</v>
      </c>
      <c r="C37" s="61">
        <f>5566.82+10567.18-4047.18</f>
        <v>12086.82</v>
      </c>
      <c r="D37" s="61">
        <f t="shared" si="10"/>
        <v>12086.82</v>
      </c>
      <c r="E37" s="61"/>
      <c r="F37" s="61">
        <v>22267.28</v>
      </c>
      <c r="G37" s="61">
        <f>F37</f>
        <v>22267.28</v>
      </c>
      <c r="H37" s="61"/>
      <c r="I37" s="61">
        <f>I36*30.2%</f>
        <v>22267.28144</v>
      </c>
      <c r="J37" s="61">
        <f>J36*30.2%</f>
        <v>22267.28144</v>
      </c>
      <c r="K37" s="96"/>
    </row>
    <row r="38" spans="1:11" s="6" customFormat="1" ht="13.5" customHeight="1" hidden="1">
      <c r="A38" s="35" t="s">
        <v>57</v>
      </c>
      <c r="B38" s="95" t="s">
        <v>151</v>
      </c>
      <c r="C38" s="61"/>
      <c r="D38" s="61"/>
      <c r="E38" s="61"/>
      <c r="F38" s="61"/>
      <c r="G38" s="61"/>
      <c r="H38" s="61"/>
      <c r="I38" s="61"/>
      <c r="J38" s="61"/>
      <c r="K38" s="96"/>
    </row>
    <row r="39" spans="1:11" s="6" customFormat="1" ht="13.5" customHeight="1" hidden="1">
      <c r="A39" s="35" t="s">
        <v>24</v>
      </c>
      <c r="B39" s="95" t="s">
        <v>160</v>
      </c>
      <c r="C39" s="61"/>
      <c r="D39" s="61"/>
      <c r="E39" s="61"/>
      <c r="F39" s="61"/>
      <c r="G39" s="61"/>
      <c r="H39" s="61"/>
      <c r="I39" s="61"/>
      <c r="J39" s="61"/>
      <c r="K39" s="96"/>
    </row>
    <row r="40" spans="1:11" s="6" customFormat="1" ht="13.5" customHeight="1" hidden="1">
      <c r="A40" s="14" t="s">
        <v>30</v>
      </c>
      <c r="B40" s="95" t="s">
        <v>152</v>
      </c>
      <c r="C40" s="61"/>
      <c r="D40" s="61">
        <f t="shared" si="10"/>
        <v>0</v>
      </c>
      <c r="E40" s="61"/>
      <c r="F40" s="61"/>
      <c r="G40" s="61"/>
      <c r="H40" s="61"/>
      <c r="I40" s="61"/>
      <c r="J40" s="61"/>
      <c r="K40" s="96"/>
    </row>
    <row r="41" spans="1:11" s="6" customFormat="1" ht="14.25" customHeight="1">
      <c r="A41" s="98" t="s">
        <v>37</v>
      </c>
      <c r="B41" s="95" t="s">
        <v>190</v>
      </c>
      <c r="C41" s="61">
        <f>12000-300</f>
        <v>11700</v>
      </c>
      <c r="D41" s="61">
        <f t="shared" si="10"/>
        <v>11700</v>
      </c>
      <c r="E41" s="61"/>
      <c r="F41" s="61">
        <v>50000</v>
      </c>
      <c r="G41" s="61">
        <f>F41</f>
        <v>50000</v>
      </c>
      <c r="H41" s="61"/>
      <c r="I41" s="61">
        <v>50000</v>
      </c>
      <c r="J41" s="61">
        <f>I41</f>
        <v>50000</v>
      </c>
      <c r="K41" s="96"/>
    </row>
    <row r="42" spans="1:11" s="6" customFormat="1" ht="12.75" customHeight="1">
      <c r="A42" s="152" t="s">
        <v>38</v>
      </c>
      <c r="B42" s="163" t="s">
        <v>186</v>
      </c>
      <c r="C42" s="150">
        <f>23039.95</f>
        <v>23039.95</v>
      </c>
      <c r="D42" s="150">
        <f t="shared" si="10"/>
        <v>23039.95</v>
      </c>
      <c r="E42" s="150"/>
      <c r="F42" s="150">
        <v>14000</v>
      </c>
      <c r="G42" s="150">
        <f>F42</f>
        <v>14000</v>
      </c>
      <c r="H42" s="150"/>
      <c r="I42" s="150">
        <v>14000</v>
      </c>
      <c r="J42" s="150">
        <f>I42</f>
        <v>14000</v>
      </c>
      <c r="K42" s="160"/>
    </row>
    <row r="43" spans="1:11" s="6" customFormat="1" ht="12.75" customHeight="1" thickBot="1">
      <c r="A43" s="153"/>
      <c r="B43" s="151"/>
      <c r="C43" s="151"/>
      <c r="D43" s="151"/>
      <c r="E43" s="151"/>
      <c r="F43" s="151"/>
      <c r="G43" s="151"/>
      <c r="H43" s="151"/>
      <c r="I43" s="151"/>
      <c r="J43" s="151"/>
      <c r="K43" s="157"/>
    </row>
    <row r="44" spans="1:11" s="6" customFormat="1" ht="28.5" customHeight="1" thickBot="1">
      <c r="A44" s="127" t="s">
        <v>183</v>
      </c>
      <c r="B44" s="128"/>
      <c r="C44" s="129">
        <f>C46+C47+C48+C49+C50</f>
        <v>10704.78</v>
      </c>
      <c r="D44" s="129">
        <f>D46+D47+D48+D49+D50</f>
        <v>10704.78</v>
      </c>
      <c r="E44" s="129">
        <f aca="true" t="shared" si="11" ref="E44:J44">E46+E47+E48+E49+E50</f>
        <v>0</v>
      </c>
      <c r="F44" s="129">
        <f t="shared" si="11"/>
        <v>0</v>
      </c>
      <c r="G44" s="129">
        <f t="shared" si="11"/>
        <v>0</v>
      </c>
      <c r="H44" s="129">
        <f t="shared" si="11"/>
        <v>0</v>
      </c>
      <c r="I44" s="129">
        <f t="shared" si="11"/>
        <v>0</v>
      </c>
      <c r="J44" s="129">
        <f t="shared" si="11"/>
        <v>0</v>
      </c>
      <c r="K44" s="130"/>
    </row>
    <row r="45" spans="1:11" s="6" customFormat="1" ht="13.5" customHeight="1">
      <c r="A45" s="38" t="s">
        <v>12</v>
      </c>
      <c r="B45" s="54"/>
      <c r="C45" s="55"/>
      <c r="D45" s="55"/>
      <c r="E45" s="55"/>
      <c r="F45" s="55"/>
      <c r="G45" s="55"/>
      <c r="H45" s="55"/>
      <c r="I45" s="55"/>
      <c r="J45" s="55"/>
      <c r="K45" s="56"/>
    </row>
    <row r="46" spans="1:11" s="6" customFormat="1" ht="13.5" customHeight="1" hidden="1">
      <c r="A46" s="98" t="s">
        <v>13</v>
      </c>
      <c r="B46" s="27" t="s">
        <v>109</v>
      </c>
      <c r="C46" s="97">
        <v>0</v>
      </c>
      <c r="D46" s="97">
        <f>C46</f>
        <v>0</v>
      </c>
      <c r="E46" s="97"/>
      <c r="F46" s="97"/>
      <c r="G46" s="97"/>
      <c r="H46" s="97"/>
      <c r="I46" s="97"/>
      <c r="J46" s="97"/>
      <c r="K46" s="99"/>
    </row>
    <row r="47" spans="1:11" s="6" customFormat="1" ht="13.5" customHeight="1" hidden="1">
      <c r="A47" s="98" t="s">
        <v>18</v>
      </c>
      <c r="B47" s="95" t="s">
        <v>110</v>
      </c>
      <c r="C47" s="61">
        <v>0</v>
      </c>
      <c r="D47" s="61">
        <f>C47</f>
        <v>0</v>
      </c>
      <c r="E47" s="61"/>
      <c r="F47" s="61"/>
      <c r="G47" s="61"/>
      <c r="H47" s="61"/>
      <c r="I47" s="61"/>
      <c r="J47" s="61"/>
      <c r="K47" s="96"/>
    </row>
    <row r="48" spans="1:11" s="6" customFormat="1" ht="13.5" customHeight="1">
      <c r="A48" s="35" t="s">
        <v>57</v>
      </c>
      <c r="B48" s="95" t="s">
        <v>191</v>
      </c>
      <c r="C48" s="61">
        <f>7600-1000</f>
        <v>6600</v>
      </c>
      <c r="D48" s="61">
        <f>C48</f>
        <v>6600</v>
      </c>
      <c r="E48" s="61"/>
      <c r="F48" s="61"/>
      <c r="G48" s="61"/>
      <c r="H48" s="61"/>
      <c r="I48" s="61"/>
      <c r="J48" s="61"/>
      <c r="K48" s="96"/>
    </row>
    <row r="49" spans="1:11" s="6" customFormat="1" ht="13.5" customHeight="1">
      <c r="A49" s="35" t="s">
        <v>30</v>
      </c>
      <c r="B49" s="95" t="s">
        <v>192</v>
      </c>
      <c r="C49" s="61">
        <f>7698-5198</f>
        <v>2500</v>
      </c>
      <c r="D49" s="61">
        <f>C49</f>
        <v>2500</v>
      </c>
      <c r="E49" s="61"/>
      <c r="F49" s="61"/>
      <c r="G49" s="61"/>
      <c r="H49" s="61"/>
      <c r="I49" s="61"/>
      <c r="J49" s="61"/>
      <c r="K49" s="96"/>
    </row>
    <row r="50" spans="1:11" s="6" customFormat="1" ht="25.5" customHeight="1" thickBot="1">
      <c r="A50" s="14" t="s">
        <v>38</v>
      </c>
      <c r="B50" s="95" t="s">
        <v>186</v>
      </c>
      <c r="C50" s="61">
        <f>2500-895.22</f>
        <v>1604.78</v>
      </c>
      <c r="D50" s="61">
        <f>C50</f>
        <v>1604.78</v>
      </c>
      <c r="E50" s="61"/>
      <c r="F50" s="61"/>
      <c r="G50" s="61"/>
      <c r="H50" s="61"/>
      <c r="I50" s="61"/>
      <c r="J50" s="61"/>
      <c r="K50" s="96"/>
    </row>
    <row r="51" spans="1:11" s="6" customFormat="1" ht="26.25" customHeight="1" thickBot="1">
      <c r="A51" s="127" t="s">
        <v>184</v>
      </c>
      <c r="B51" s="128"/>
      <c r="C51" s="129">
        <f>C54+C55</f>
        <v>43009.58</v>
      </c>
      <c r="D51" s="129">
        <f>D54+D55</f>
        <v>43009.58</v>
      </c>
      <c r="E51" s="129">
        <f>E54+E55</f>
        <v>0</v>
      </c>
      <c r="F51" s="129">
        <f>F53+F54+F55</f>
        <v>0</v>
      </c>
      <c r="G51" s="129">
        <f>G53+G54+G55</f>
        <v>0</v>
      </c>
      <c r="H51" s="129">
        <f>H53+H54+H55</f>
        <v>0</v>
      </c>
      <c r="I51" s="129">
        <f>I53+I54+I55</f>
        <v>0</v>
      </c>
      <c r="J51" s="129">
        <f>J53+J54+J55</f>
        <v>0</v>
      </c>
      <c r="K51" s="130"/>
    </row>
    <row r="52" spans="1:11" s="6" customFormat="1" ht="13.5" customHeight="1">
      <c r="A52" s="35" t="s">
        <v>12</v>
      </c>
      <c r="B52" s="95"/>
      <c r="C52" s="61"/>
      <c r="D52" s="61"/>
      <c r="E52" s="61"/>
      <c r="F52" s="61"/>
      <c r="G52" s="61"/>
      <c r="H52" s="61"/>
      <c r="I52" s="61"/>
      <c r="J52" s="61"/>
      <c r="K52" s="96"/>
    </row>
    <row r="53" spans="1:11" s="6" customFormat="1" ht="13.5" customHeight="1">
      <c r="A53" s="35" t="s">
        <v>18</v>
      </c>
      <c r="B53" s="27" t="s">
        <v>189</v>
      </c>
      <c r="C53" s="61">
        <v>0</v>
      </c>
      <c r="D53" s="61">
        <v>0</v>
      </c>
      <c r="E53" s="61"/>
      <c r="F53" s="61"/>
      <c r="G53" s="61"/>
      <c r="H53" s="61"/>
      <c r="I53" s="61"/>
      <c r="J53" s="61"/>
      <c r="K53" s="96"/>
    </row>
    <row r="54" spans="1:11" s="6" customFormat="1" ht="13.5" customHeight="1">
      <c r="A54" s="98" t="s">
        <v>37</v>
      </c>
      <c r="B54" s="95" t="s">
        <v>190</v>
      </c>
      <c r="C54" s="61">
        <v>41810.53</v>
      </c>
      <c r="D54" s="61">
        <f>C54</f>
        <v>41810.53</v>
      </c>
      <c r="E54" s="61"/>
      <c r="F54" s="61"/>
      <c r="G54" s="61"/>
      <c r="H54" s="61"/>
      <c r="I54" s="61"/>
      <c r="J54" s="61"/>
      <c r="K54" s="96"/>
    </row>
    <row r="55" spans="1:11" s="6" customFormat="1" ht="24.75" customHeight="1" thickBot="1">
      <c r="A55" s="98" t="s">
        <v>38</v>
      </c>
      <c r="B55" s="95" t="s">
        <v>186</v>
      </c>
      <c r="C55" s="61">
        <v>1199.05</v>
      </c>
      <c r="D55" s="61">
        <f>C55</f>
        <v>1199.05</v>
      </c>
      <c r="E55" s="61"/>
      <c r="F55" s="61"/>
      <c r="G55" s="61"/>
      <c r="H55" s="61"/>
      <c r="I55" s="61"/>
      <c r="J55" s="61"/>
      <c r="K55" s="96"/>
    </row>
    <row r="56" spans="1:11" s="6" customFormat="1" ht="30" customHeight="1" thickBot="1">
      <c r="A56" s="20" t="s">
        <v>52</v>
      </c>
      <c r="B56" s="47"/>
      <c r="C56" s="49">
        <f aca="true" t="shared" si="12" ref="C56:K56">C57+C107</f>
        <v>69016600</v>
      </c>
      <c r="D56" s="49">
        <f t="shared" si="12"/>
        <v>69016600</v>
      </c>
      <c r="E56" s="49">
        <f t="shared" si="12"/>
        <v>0</v>
      </c>
      <c r="F56" s="49">
        <f t="shared" si="12"/>
        <v>77362300</v>
      </c>
      <c r="G56" s="49">
        <f t="shared" si="12"/>
        <v>77362300</v>
      </c>
      <c r="H56" s="49">
        <f t="shared" si="12"/>
        <v>0</v>
      </c>
      <c r="I56" s="49">
        <f t="shared" si="12"/>
        <v>89301600</v>
      </c>
      <c r="J56" s="49">
        <f t="shared" si="12"/>
        <v>89301600</v>
      </c>
      <c r="K56" s="131">
        <f t="shared" si="12"/>
        <v>0</v>
      </c>
    </row>
    <row r="57" spans="1:11" s="6" customFormat="1" ht="30" customHeight="1">
      <c r="A57" s="19" t="s">
        <v>53</v>
      </c>
      <c r="B57" s="44"/>
      <c r="C57" s="30">
        <f>C59+C68+C93+C94</f>
        <v>68172900</v>
      </c>
      <c r="D57" s="30">
        <f>D59+D68+D93+D94</f>
        <v>68172900</v>
      </c>
      <c r="E57" s="30"/>
      <c r="F57" s="30">
        <f>F59+F68+F93+F94</f>
        <v>76432500</v>
      </c>
      <c r="G57" s="30">
        <f>G59+G68+G93+G94</f>
        <v>76432500</v>
      </c>
      <c r="H57" s="30">
        <f>H59+H68+H93+H94</f>
        <v>0</v>
      </c>
      <c r="I57" s="30">
        <f>I59+I68+I93+I94</f>
        <v>88297500</v>
      </c>
      <c r="J57" s="30">
        <f>J59+J68+J93+J94</f>
        <v>88297500</v>
      </c>
      <c r="K57" s="40">
        <f>K59+K68+K94</f>
        <v>0</v>
      </c>
    </row>
    <row r="58" spans="1:11" s="124" customFormat="1" ht="16.5" customHeight="1">
      <c r="A58" s="37" t="s">
        <v>10</v>
      </c>
      <c r="B58" s="57"/>
      <c r="C58" s="58"/>
      <c r="D58" s="58"/>
      <c r="E58" s="58"/>
      <c r="F58" s="58"/>
      <c r="G58" s="58"/>
      <c r="H58" s="58"/>
      <c r="I58" s="58"/>
      <c r="J58" s="58"/>
      <c r="K58" s="59"/>
    </row>
    <row r="59" spans="1:12" s="8" customFormat="1" ht="12.75" customHeight="1">
      <c r="A59" s="78" t="s">
        <v>11</v>
      </c>
      <c r="B59" s="7" t="s">
        <v>111</v>
      </c>
      <c r="C59" s="36">
        <f>C61+C62+C67</f>
        <v>62131022.49</v>
      </c>
      <c r="D59" s="36">
        <f>D61+D62+D67</f>
        <v>62131022.49</v>
      </c>
      <c r="E59" s="36">
        <v>0</v>
      </c>
      <c r="F59" s="36">
        <f aca="true" t="shared" si="13" ref="F59:K59">F61+F62+F67</f>
        <v>70205100</v>
      </c>
      <c r="G59" s="36">
        <f t="shared" si="13"/>
        <v>70205100</v>
      </c>
      <c r="H59" s="36">
        <f t="shared" si="13"/>
        <v>0</v>
      </c>
      <c r="I59" s="36">
        <f t="shared" si="13"/>
        <v>81881900</v>
      </c>
      <c r="J59" s="36">
        <f t="shared" si="13"/>
        <v>81881900</v>
      </c>
      <c r="K59" s="60">
        <f t="shared" si="13"/>
        <v>0</v>
      </c>
      <c r="L59" s="73"/>
    </row>
    <row r="60" spans="1:12" s="6" customFormat="1" ht="12.75">
      <c r="A60" s="38" t="s">
        <v>12</v>
      </c>
      <c r="B60" s="27"/>
      <c r="C60" s="22"/>
      <c r="D60" s="36"/>
      <c r="E60" s="22"/>
      <c r="F60" s="22"/>
      <c r="G60" s="36"/>
      <c r="H60" s="22"/>
      <c r="I60" s="22"/>
      <c r="J60" s="36"/>
      <c r="K60" s="23"/>
      <c r="L60" s="73"/>
    </row>
    <row r="61" spans="1:12" s="4" customFormat="1" ht="12.75">
      <c r="A61" s="35" t="s">
        <v>13</v>
      </c>
      <c r="B61" s="27" t="s">
        <v>112</v>
      </c>
      <c r="C61" s="22">
        <f>48077900-235300</f>
        <v>47842600</v>
      </c>
      <c r="D61" s="22">
        <f>C61</f>
        <v>47842600</v>
      </c>
      <c r="E61" s="22">
        <v>0</v>
      </c>
      <c r="F61" s="22">
        <v>54024000</v>
      </c>
      <c r="G61" s="22">
        <f>F61</f>
        <v>54024000</v>
      </c>
      <c r="H61" s="22"/>
      <c r="I61" s="22">
        <v>62992400</v>
      </c>
      <c r="J61" s="22">
        <f>I61</f>
        <v>62992400</v>
      </c>
      <c r="K61" s="28"/>
      <c r="L61" s="73"/>
    </row>
    <row r="62" spans="1:12" s="4" customFormat="1" ht="12.75">
      <c r="A62" s="35" t="s">
        <v>14</v>
      </c>
      <c r="B62" s="27" t="s">
        <v>113</v>
      </c>
      <c r="C62" s="22">
        <f>SUM(C64:C66)</f>
        <v>64622.49</v>
      </c>
      <c r="D62" s="22">
        <f>SUM(D64:D66)</f>
        <v>64622.49</v>
      </c>
      <c r="E62" s="22">
        <v>0</v>
      </c>
      <c r="F62" s="22">
        <f aca="true" t="shared" si="14" ref="F62:K62">SUM(F64:F66)</f>
        <v>120000</v>
      </c>
      <c r="G62" s="22">
        <f t="shared" si="14"/>
        <v>120000</v>
      </c>
      <c r="H62" s="22">
        <f t="shared" si="14"/>
        <v>0</v>
      </c>
      <c r="I62" s="22">
        <f t="shared" si="14"/>
        <v>120000</v>
      </c>
      <c r="J62" s="22">
        <f t="shared" si="14"/>
        <v>120000</v>
      </c>
      <c r="K62" s="28">
        <f t="shared" si="14"/>
        <v>0</v>
      </c>
      <c r="L62" s="73"/>
    </row>
    <row r="63" spans="1:12" s="6" customFormat="1" ht="12.75" hidden="1">
      <c r="A63" s="38" t="s">
        <v>10</v>
      </c>
      <c r="B63" s="27"/>
      <c r="C63" s="22"/>
      <c r="D63" s="36"/>
      <c r="E63" s="22"/>
      <c r="F63" s="22"/>
      <c r="G63" s="36"/>
      <c r="H63" s="22"/>
      <c r="I63" s="22"/>
      <c r="J63" s="36"/>
      <c r="K63" s="23"/>
      <c r="L63" s="73"/>
    </row>
    <row r="64" spans="1:13" s="6" customFormat="1" ht="12.75" hidden="1">
      <c r="A64" s="35" t="s">
        <v>15</v>
      </c>
      <c r="B64" s="27" t="s">
        <v>71</v>
      </c>
      <c r="C64" s="22">
        <f>36300-1024.51</f>
        <v>35275.49</v>
      </c>
      <c r="D64" s="22">
        <f>C64</f>
        <v>35275.49</v>
      </c>
      <c r="E64" s="22">
        <v>0</v>
      </c>
      <c r="F64" s="22">
        <v>36300</v>
      </c>
      <c r="G64" s="22">
        <f>F64</f>
        <v>36300</v>
      </c>
      <c r="H64" s="22">
        <v>0</v>
      </c>
      <c r="I64" s="22">
        <v>36300</v>
      </c>
      <c r="J64" s="22">
        <f>I64</f>
        <v>36300</v>
      </c>
      <c r="K64" s="23"/>
      <c r="L64" s="73"/>
      <c r="M64" s="74"/>
    </row>
    <row r="65" spans="1:12" s="6" customFormat="1" ht="24" customHeight="1" hidden="1">
      <c r="A65" s="35" t="s">
        <v>16</v>
      </c>
      <c r="B65" s="27" t="s">
        <v>72</v>
      </c>
      <c r="C65" s="22">
        <f>23700-17400</f>
        <v>6300</v>
      </c>
      <c r="D65" s="22">
        <f>C65</f>
        <v>6300</v>
      </c>
      <c r="E65" s="22">
        <v>0</v>
      </c>
      <c r="F65" s="22">
        <v>23700</v>
      </c>
      <c r="G65" s="22">
        <f>F65</f>
        <v>23700</v>
      </c>
      <c r="H65" s="22">
        <v>0</v>
      </c>
      <c r="I65" s="22">
        <v>23700</v>
      </c>
      <c r="J65" s="22">
        <f>I65</f>
        <v>23700</v>
      </c>
      <c r="K65" s="23"/>
      <c r="L65" s="73"/>
    </row>
    <row r="66" spans="1:12" s="6" customFormat="1" ht="12.75" hidden="1">
      <c r="A66" s="38" t="s">
        <v>17</v>
      </c>
      <c r="B66" s="27" t="s">
        <v>73</v>
      </c>
      <c r="C66" s="22">
        <f>60000-36953</f>
        <v>23047</v>
      </c>
      <c r="D66" s="22">
        <f>C66</f>
        <v>23047</v>
      </c>
      <c r="E66" s="22">
        <v>0</v>
      </c>
      <c r="F66" s="22">
        <v>60000</v>
      </c>
      <c r="G66" s="22">
        <f>F66</f>
        <v>60000</v>
      </c>
      <c r="H66" s="22">
        <v>0</v>
      </c>
      <c r="I66" s="22">
        <v>60000</v>
      </c>
      <c r="J66" s="22">
        <f>I66</f>
        <v>60000</v>
      </c>
      <c r="K66" s="23"/>
      <c r="L66" s="73"/>
    </row>
    <row r="67" spans="1:12" s="4" customFormat="1" ht="15" customHeight="1">
      <c r="A67" s="35" t="s">
        <v>18</v>
      </c>
      <c r="B67" s="27" t="s">
        <v>114</v>
      </c>
      <c r="C67" s="22">
        <f>10923100+3452100-151400</f>
        <v>14223800</v>
      </c>
      <c r="D67" s="22">
        <f>C67</f>
        <v>14223800</v>
      </c>
      <c r="E67" s="22"/>
      <c r="F67" s="22">
        <v>16061100</v>
      </c>
      <c r="G67" s="22">
        <f>F67</f>
        <v>16061100</v>
      </c>
      <c r="H67" s="22"/>
      <c r="I67" s="22">
        <v>18769500</v>
      </c>
      <c r="J67" s="22">
        <f>I67</f>
        <v>18769500</v>
      </c>
      <c r="K67" s="28"/>
      <c r="L67" s="73"/>
    </row>
    <row r="68" spans="1:12" s="8" customFormat="1" ht="12.75">
      <c r="A68" s="78" t="s">
        <v>19</v>
      </c>
      <c r="B68" s="7" t="s">
        <v>115</v>
      </c>
      <c r="C68" s="36">
        <f>C70+C71+C75+C76+C77+C85</f>
        <v>3263342.71</v>
      </c>
      <c r="D68" s="36">
        <f>D70+D71+D75+D76+D77+D85</f>
        <v>3263342.71</v>
      </c>
      <c r="E68" s="36"/>
      <c r="F68" s="36">
        <f aca="true" t="shared" si="15" ref="F68:K68">F70+F71+F75+F76+F77+F85</f>
        <v>3272690</v>
      </c>
      <c r="G68" s="36">
        <f t="shared" si="15"/>
        <v>3272690</v>
      </c>
      <c r="H68" s="36">
        <f t="shared" si="15"/>
        <v>0</v>
      </c>
      <c r="I68" s="36">
        <f t="shared" si="15"/>
        <v>3387990</v>
      </c>
      <c r="J68" s="36">
        <f t="shared" si="15"/>
        <v>3387990</v>
      </c>
      <c r="K68" s="60">
        <f t="shared" si="15"/>
        <v>0</v>
      </c>
      <c r="L68" s="73"/>
    </row>
    <row r="69" spans="1:12" s="6" customFormat="1" ht="12.75">
      <c r="A69" s="38" t="s">
        <v>12</v>
      </c>
      <c r="B69" s="27"/>
      <c r="C69" s="22"/>
      <c r="D69" s="36"/>
      <c r="E69" s="22"/>
      <c r="F69" s="22"/>
      <c r="G69" s="36"/>
      <c r="H69" s="22"/>
      <c r="I69" s="22"/>
      <c r="J69" s="36"/>
      <c r="K69" s="23"/>
      <c r="L69" s="73"/>
    </row>
    <row r="70" spans="1:12" s="4" customFormat="1" ht="12.75">
      <c r="A70" s="35" t="s">
        <v>20</v>
      </c>
      <c r="B70" s="27" t="s">
        <v>116</v>
      </c>
      <c r="C70" s="22">
        <f>179000+11555.27</f>
        <v>190555.27</v>
      </c>
      <c r="D70" s="22">
        <f>C70</f>
        <v>190555.27</v>
      </c>
      <c r="E70" s="22">
        <v>0</v>
      </c>
      <c r="F70" s="22">
        <f>179000+7600</f>
        <v>186600</v>
      </c>
      <c r="G70" s="22">
        <f>F70</f>
        <v>186600</v>
      </c>
      <c r="H70" s="22"/>
      <c r="I70" s="22">
        <f>179000+7600</f>
        <v>186600</v>
      </c>
      <c r="J70" s="22">
        <f>I70</f>
        <v>186600</v>
      </c>
      <c r="K70" s="28"/>
      <c r="L70" s="73"/>
    </row>
    <row r="71" spans="1:12" s="4" customFormat="1" ht="12.75">
      <c r="A71" s="35" t="s">
        <v>21</v>
      </c>
      <c r="B71" s="27" t="s">
        <v>117</v>
      </c>
      <c r="C71" s="22">
        <f>C73+C74</f>
        <v>2588</v>
      </c>
      <c r="D71" s="22">
        <f>D73+D74</f>
        <v>2588</v>
      </c>
      <c r="E71" s="22">
        <v>0</v>
      </c>
      <c r="F71" s="22">
        <f aca="true" t="shared" si="16" ref="F71:K71">F73+F74</f>
        <v>9000</v>
      </c>
      <c r="G71" s="22">
        <f t="shared" si="16"/>
        <v>9000</v>
      </c>
      <c r="H71" s="22">
        <f t="shared" si="16"/>
        <v>0</v>
      </c>
      <c r="I71" s="22">
        <f t="shared" si="16"/>
        <v>9000</v>
      </c>
      <c r="J71" s="22">
        <f t="shared" si="16"/>
        <v>9000</v>
      </c>
      <c r="K71" s="28">
        <f t="shared" si="16"/>
        <v>0</v>
      </c>
      <c r="L71" s="73"/>
    </row>
    <row r="72" spans="1:12" s="6" customFormat="1" ht="12.75" hidden="1">
      <c r="A72" s="38" t="s">
        <v>10</v>
      </c>
      <c r="B72" s="27"/>
      <c r="C72" s="22"/>
      <c r="D72" s="36"/>
      <c r="E72" s="22"/>
      <c r="F72" s="22"/>
      <c r="G72" s="36"/>
      <c r="H72" s="22"/>
      <c r="I72" s="22"/>
      <c r="J72" s="36"/>
      <c r="K72" s="23"/>
      <c r="L72" s="73"/>
    </row>
    <row r="73" spans="1:13" s="6" customFormat="1" ht="12.75" hidden="1">
      <c r="A73" s="35" t="s">
        <v>15</v>
      </c>
      <c r="B73" s="27" t="s">
        <v>74</v>
      </c>
      <c r="C73" s="22">
        <f>8000-5412</f>
        <v>2588</v>
      </c>
      <c r="D73" s="22">
        <f>C73</f>
        <v>2588</v>
      </c>
      <c r="E73" s="22">
        <v>0</v>
      </c>
      <c r="F73" s="22">
        <v>8000</v>
      </c>
      <c r="G73" s="22">
        <f>F73</f>
        <v>8000</v>
      </c>
      <c r="H73" s="22"/>
      <c r="I73" s="22">
        <v>8000</v>
      </c>
      <c r="J73" s="22">
        <f>I73</f>
        <v>8000</v>
      </c>
      <c r="K73" s="23"/>
      <c r="L73" s="73"/>
      <c r="M73" s="74"/>
    </row>
    <row r="74" spans="1:13" s="6" customFormat="1" ht="12.75" hidden="1">
      <c r="A74" s="35" t="s">
        <v>22</v>
      </c>
      <c r="B74" s="27" t="s">
        <v>75</v>
      </c>
      <c r="C74" s="22">
        <v>0</v>
      </c>
      <c r="D74" s="22">
        <f>C74</f>
        <v>0</v>
      </c>
      <c r="E74" s="22">
        <v>0</v>
      </c>
      <c r="F74" s="22">
        <v>1000</v>
      </c>
      <c r="G74" s="22">
        <f>F74</f>
        <v>1000</v>
      </c>
      <c r="H74" s="22">
        <v>0</v>
      </c>
      <c r="I74" s="22">
        <v>1000</v>
      </c>
      <c r="J74" s="22">
        <f>I74</f>
        <v>1000</v>
      </c>
      <c r="K74" s="23">
        <v>0</v>
      </c>
      <c r="L74" s="73"/>
      <c r="M74" s="74"/>
    </row>
    <row r="75" spans="1:13" s="4" customFormat="1" ht="12.75">
      <c r="A75" s="35" t="s">
        <v>23</v>
      </c>
      <c r="B75" s="27" t="s">
        <v>118</v>
      </c>
      <c r="C75" s="22">
        <f>915856.09-0.93</f>
        <v>915855.1599999999</v>
      </c>
      <c r="D75" s="22">
        <f>C75</f>
        <v>915855.1599999999</v>
      </c>
      <c r="E75" s="22">
        <v>0</v>
      </c>
      <c r="F75" s="22">
        <v>1360700</v>
      </c>
      <c r="G75" s="22">
        <f>F75</f>
        <v>1360700</v>
      </c>
      <c r="H75" s="22"/>
      <c r="I75" s="22">
        <v>1472200</v>
      </c>
      <c r="J75" s="22">
        <f>I75</f>
        <v>1472200</v>
      </c>
      <c r="K75" s="28"/>
      <c r="L75" s="73"/>
      <c r="M75" s="74"/>
    </row>
    <row r="76" spans="1:12" s="4" customFormat="1" ht="12.75" customHeight="1">
      <c r="A76" s="35" t="s">
        <v>45</v>
      </c>
      <c r="B76" s="27" t="s">
        <v>134</v>
      </c>
      <c r="C76" s="22">
        <f>30000+20000</f>
        <v>50000</v>
      </c>
      <c r="D76" s="22">
        <f>C76</f>
        <v>50000</v>
      </c>
      <c r="E76" s="22">
        <v>0</v>
      </c>
      <c r="F76" s="22">
        <v>30000</v>
      </c>
      <c r="G76" s="22">
        <f>F76</f>
        <v>30000</v>
      </c>
      <c r="H76" s="22"/>
      <c r="I76" s="22">
        <v>30000</v>
      </c>
      <c r="J76" s="22">
        <f>I76</f>
        <v>30000</v>
      </c>
      <c r="K76" s="23"/>
      <c r="L76" s="73"/>
    </row>
    <row r="77" spans="1:12" s="4" customFormat="1" ht="14.25" customHeight="1">
      <c r="A77" s="35" t="s">
        <v>24</v>
      </c>
      <c r="B77" s="27" t="s">
        <v>135</v>
      </c>
      <c r="C77" s="22">
        <f>SUM(C79:C84)</f>
        <v>1097044.99</v>
      </c>
      <c r="D77" s="22">
        <f>SUM(D79:D84)</f>
        <v>1097044.99</v>
      </c>
      <c r="E77" s="22">
        <v>0</v>
      </c>
      <c r="F77" s="22">
        <f aca="true" t="shared" si="17" ref="F77:K77">SUM(F79:F84)</f>
        <v>787190</v>
      </c>
      <c r="G77" s="22">
        <f t="shared" si="17"/>
        <v>787190</v>
      </c>
      <c r="H77" s="22">
        <f t="shared" si="17"/>
        <v>0</v>
      </c>
      <c r="I77" s="22">
        <f t="shared" si="17"/>
        <v>787190</v>
      </c>
      <c r="J77" s="22">
        <f t="shared" si="17"/>
        <v>787190</v>
      </c>
      <c r="K77" s="28">
        <f t="shared" si="17"/>
        <v>0</v>
      </c>
      <c r="L77" s="73"/>
    </row>
    <row r="78" spans="1:12" s="6" customFormat="1" ht="12.75" hidden="1">
      <c r="A78" s="38" t="s">
        <v>10</v>
      </c>
      <c r="B78" s="27"/>
      <c r="C78" s="22"/>
      <c r="D78" s="36"/>
      <c r="E78" s="22"/>
      <c r="F78" s="22"/>
      <c r="G78" s="36"/>
      <c r="H78" s="22"/>
      <c r="I78" s="22"/>
      <c r="J78" s="36"/>
      <c r="K78" s="23"/>
      <c r="L78" s="73"/>
    </row>
    <row r="79" spans="1:13" s="6" customFormat="1" ht="27" customHeight="1" hidden="1">
      <c r="A79" s="35" t="s">
        <v>25</v>
      </c>
      <c r="B79" s="27" t="s">
        <v>119</v>
      </c>
      <c r="C79" s="22">
        <f>68300+1743.46</f>
        <v>70043.46</v>
      </c>
      <c r="D79" s="22">
        <f aca="true" t="shared" si="18" ref="D79:D84">C79</f>
        <v>70043.46</v>
      </c>
      <c r="E79" s="22"/>
      <c r="F79" s="22">
        <v>68300</v>
      </c>
      <c r="G79" s="22">
        <f>F79</f>
        <v>68300</v>
      </c>
      <c r="H79" s="22"/>
      <c r="I79" s="22">
        <v>68300</v>
      </c>
      <c r="J79" s="22">
        <f>I79</f>
        <v>68300</v>
      </c>
      <c r="K79" s="23"/>
      <c r="L79" s="73"/>
      <c r="M79" s="74"/>
    </row>
    <row r="80" spans="1:13" s="6" customFormat="1" ht="37.5" customHeight="1" hidden="1">
      <c r="A80" s="35" t="s">
        <v>26</v>
      </c>
      <c r="B80" s="27" t="s">
        <v>120</v>
      </c>
      <c r="C80" s="22">
        <f>20000-2733.1</f>
        <v>17266.9</v>
      </c>
      <c r="D80" s="22">
        <f t="shared" si="18"/>
        <v>17266.9</v>
      </c>
      <c r="E80" s="22"/>
      <c r="F80" s="22">
        <v>20000</v>
      </c>
      <c r="G80" s="22">
        <f>F80</f>
        <v>20000</v>
      </c>
      <c r="H80" s="22">
        <v>0</v>
      </c>
      <c r="I80" s="22">
        <v>20000</v>
      </c>
      <c r="J80" s="22">
        <f>I80</f>
        <v>20000</v>
      </c>
      <c r="K80" s="23"/>
      <c r="L80" s="73"/>
      <c r="M80" s="74"/>
    </row>
    <row r="81" spans="1:13" s="6" customFormat="1" ht="63" customHeight="1" hidden="1">
      <c r="A81" s="35" t="s">
        <v>27</v>
      </c>
      <c r="B81" s="27" t="s">
        <v>121</v>
      </c>
      <c r="C81" s="22">
        <f>146930-20604.38</f>
        <v>126325.62</v>
      </c>
      <c r="D81" s="22">
        <f t="shared" si="18"/>
        <v>126325.62</v>
      </c>
      <c r="E81" s="22"/>
      <c r="F81" s="22">
        <v>147000</v>
      </c>
      <c r="G81" s="22">
        <f>F81</f>
        <v>147000</v>
      </c>
      <c r="H81" s="22"/>
      <c r="I81" s="22">
        <v>147000</v>
      </c>
      <c r="J81" s="22">
        <f>I81</f>
        <v>147000</v>
      </c>
      <c r="K81" s="23"/>
      <c r="L81" s="73"/>
      <c r="M81" s="74"/>
    </row>
    <row r="82" spans="1:13" s="6" customFormat="1" ht="51" customHeight="1" hidden="1">
      <c r="A82" s="35" t="s">
        <v>171</v>
      </c>
      <c r="B82" s="27" t="s">
        <v>172</v>
      </c>
      <c r="C82" s="22">
        <v>13650</v>
      </c>
      <c r="D82" s="22">
        <f t="shared" si="18"/>
        <v>13650</v>
      </c>
      <c r="E82" s="22"/>
      <c r="F82" s="22"/>
      <c r="G82" s="22"/>
      <c r="H82" s="22"/>
      <c r="I82" s="22"/>
      <c r="J82" s="22"/>
      <c r="K82" s="23"/>
      <c r="L82" s="73"/>
      <c r="M82" s="74"/>
    </row>
    <row r="83" spans="1:12" s="6" customFormat="1" ht="26.25" customHeight="1" hidden="1">
      <c r="A83" s="35" t="s">
        <v>64</v>
      </c>
      <c r="B83" s="27" t="s">
        <v>122</v>
      </c>
      <c r="C83" s="22">
        <f>113000+370323.88-5000</f>
        <v>478323.88</v>
      </c>
      <c r="D83" s="22">
        <f t="shared" si="18"/>
        <v>478323.88</v>
      </c>
      <c r="E83" s="22"/>
      <c r="F83" s="22">
        <v>113000</v>
      </c>
      <c r="G83" s="22">
        <f>F83</f>
        <v>113000</v>
      </c>
      <c r="H83" s="22">
        <v>0</v>
      </c>
      <c r="I83" s="22">
        <v>113000</v>
      </c>
      <c r="J83" s="22">
        <f>I83</f>
        <v>113000</v>
      </c>
      <c r="K83" s="23"/>
      <c r="L83" s="73"/>
    </row>
    <row r="84" spans="1:13" s="6" customFormat="1" ht="15.75" customHeight="1" hidden="1">
      <c r="A84" s="35" t="s">
        <v>29</v>
      </c>
      <c r="B84" s="27" t="s">
        <v>123</v>
      </c>
      <c r="C84" s="22">
        <f>436300-44864.87</f>
        <v>391435.13</v>
      </c>
      <c r="D84" s="22">
        <f t="shared" si="18"/>
        <v>391435.13</v>
      </c>
      <c r="E84" s="22"/>
      <c r="F84" s="22">
        <f>436300+2590</f>
        <v>438890</v>
      </c>
      <c r="G84" s="22">
        <f>F84</f>
        <v>438890</v>
      </c>
      <c r="H84" s="22"/>
      <c r="I84" s="22">
        <f>436300+2590</f>
        <v>438890</v>
      </c>
      <c r="J84" s="22">
        <f>I84</f>
        <v>438890</v>
      </c>
      <c r="K84" s="23"/>
      <c r="L84" s="73"/>
      <c r="M84" s="74"/>
    </row>
    <row r="85" spans="1:12" s="4" customFormat="1" ht="12.75">
      <c r="A85" s="14" t="s">
        <v>30</v>
      </c>
      <c r="B85" s="27" t="s">
        <v>136</v>
      </c>
      <c r="C85" s="22">
        <f>SUM(C87:C92)</f>
        <v>1007299.29</v>
      </c>
      <c r="D85" s="22">
        <f>SUM(D87:D92)</f>
        <v>1007299.29</v>
      </c>
      <c r="E85" s="22">
        <v>0</v>
      </c>
      <c r="F85" s="22">
        <f>SUM(F88:F92)</f>
        <v>899200</v>
      </c>
      <c r="G85" s="22">
        <f>SUM(G88:G92)</f>
        <v>899200</v>
      </c>
      <c r="H85" s="22">
        <f>SUM(H88:H92)</f>
        <v>0</v>
      </c>
      <c r="I85" s="22">
        <f>SUM(I88:I92)</f>
        <v>903000</v>
      </c>
      <c r="J85" s="22">
        <f>SUM(J88:J92)</f>
        <v>903000</v>
      </c>
      <c r="K85" s="23"/>
      <c r="L85" s="73"/>
    </row>
    <row r="86" spans="1:12" s="6" customFormat="1" ht="12.75" hidden="1">
      <c r="A86" s="38" t="s">
        <v>10</v>
      </c>
      <c r="B86" s="27"/>
      <c r="C86" s="22"/>
      <c r="D86" s="36"/>
      <c r="E86" s="22"/>
      <c r="F86" s="22"/>
      <c r="G86" s="36"/>
      <c r="H86" s="22"/>
      <c r="I86" s="22"/>
      <c r="J86" s="36"/>
      <c r="K86" s="23"/>
      <c r="L86" s="73"/>
    </row>
    <row r="87" spans="1:12" s="6" customFormat="1" ht="25.5" hidden="1">
      <c r="A87" s="98" t="s">
        <v>173</v>
      </c>
      <c r="B87" s="27" t="s">
        <v>174</v>
      </c>
      <c r="C87" s="22">
        <v>75450</v>
      </c>
      <c r="D87" s="22">
        <f aca="true" t="shared" si="19" ref="D87:D93">C87</f>
        <v>75450</v>
      </c>
      <c r="E87" s="22"/>
      <c r="F87" s="22"/>
      <c r="G87" s="36"/>
      <c r="H87" s="22"/>
      <c r="I87" s="22"/>
      <c r="J87" s="36"/>
      <c r="K87" s="23"/>
      <c r="L87" s="73"/>
    </row>
    <row r="88" spans="1:13" s="6" customFormat="1" ht="15" customHeight="1" hidden="1">
      <c r="A88" s="35" t="s">
        <v>46</v>
      </c>
      <c r="B88" s="27" t="s">
        <v>124</v>
      </c>
      <c r="C88" s="22">
        <f>95000-22808.48</f>
        <v>72191.52</v>
      </c>
      <c r="D88" s="22">
        <f t="shared" si="19"/>
        <v>72191.52</v>
      </c>
      <c r="E88" s="22"/>
      <c r="F88" s="22">
        <v>99000</v>
      </c>
      <c r="G88" s="22">
        <f>F88</f>
        <v>99000</v>
      </c>
      <c r="H88" s="22"/>
      <c r="I88" s="22">
        <v>102800</v>
      </c>
      <c r="J88" s="22">
        <f>I88</f>
        <v>102800</v>
      </c>
      <c r="K88" s="23"/>
      <c r="L88" s="73"/>
      <c r="M88" s="74"/>
    </row>
    <row r="89" spans="1:13" s="6" customFormat="1" ht="12.75" hidden="1">
      <c r="A89" s="35" t="s">
        <v>31</v>
      </c>
      <c r="B89" s="27" t="s">
        <v>125</v>
      </c>
      <c r="C89" s="22">
        <f>110000</f>
        <v>110000</v>
      </c>
      <c r="D89" s="22">
        <f t="shared" si="19"/>
        <v>110000</v>
      </c>
      <c r="E89" s="22"/>
      <c r="F89" s="22">
        <v>110000</v>
      </c>
      <c r="G89" s="22">
        <f>F89</f>
        <v>110000</v>
      </c>
      <c r="H89" s="22"/>
      <c r="I89" s="22">
        <v>110000</v>
      </c>
      <c r="J89" s="22">
        <f>I89</f>
        <v>110000</v>
      </c>
      <c r="K89" s="23"/>
      <c r="L89" s="73"/>
      <c r="M89" s="74"/>
    </row>
    <row r="90" spans="1:13" s="6" customFormat="1" ht="12.75" hidden="1">
      <c r="A90" s="35" t="s">
        <v>15</v>
      </c>
      <c r="B90" s="27" t="s">
        <v>126</v>
      </c>
      <c r="C90" s="22">
        <f>113870-25520</f>
        <v>88350</v>
      </c>
      <c r="D90" s="22">
        <f t="shared" si="19"/>
        <v>88350</v>
      </c>
      <c r="E90" s="22"/>
      <c r="F90" s="22">
        <v>113800</v>
      </c>
      <c r="G90" s="22">
        <f>F90</f>
        <v>113800</v>
      </c>
      <c r="H90" s="22"/>
      <c r="I90" s="22">
        <v>113800</v>
      </c>
      <c r="J90" s="22">
        <f>I90</f>
        <v>113800</v>
      </c>
      <c r="K90" s="23"/>
      <c r="L90" s="73"/>
      <c r="M90" s="74"/>
    </row>
    <row r="91" spans="1:13" s="6" customFormat="1" ht="25.5" hidden="1">
      <c r="A91" s="35" t="s">
        <v>65</v>
      </c>
      <c r="B91" s="27" t="s">
        <v>175</v>
      </c>
      <c r="C91" s="22">
        <v>21073.1</v>
      </c>
      <c r="D91" s="22">
        <f t="shared" si="19"/>
        <v>21073.1</v>
      </c>
      <c r="E91" s="22"/>
      <c r="F91" s="22"/>
      <c r="G91" s="22"/>
      <c r="H91" s="22"/>
      <c r="I91" s="22"/>
      <c r="J91" s="22"/>
      <c r="K91" s="23"/>
      <c r="L91" s="73"/>
      <c r="M91" s="74"/>
    </row>
    <row r="92" spans="1:13" s="6" customFormat="1" ht="12.75" customHeight="1" hidden="1">
      <c r="A92" s="35" t="s">
        <v>32</v>
      </c>
      <c r="B92" s="27" t="s">
        <v>127</v>
      </c>
      <c r="C92" s="22">
        <f>535700+34000+70534.67</f>
        <v>640234.67</v>
      </c>
      <c r="D92" s="22">
        <f t="shared" si="19"/>
        <v>640234.67</v>
      </c>
      <c r="E92" s="22"/>
      <c r="F92" s="22">
        <v>576400</v>
      </c>
      <c r="G92" s="22">
        <f>F92</f>
        <v>576400</v>
      </c>
      <c r="H92" s="22"/>
      <c r="I92" s="22">
        <v>576400</v>
      </c>
      <c r="J92" s="22">
        <f>I92</f>
        <v>576400</v>
      </c>
      <c r="K92" s="23"/>
      <c r="L92" s="73"/>
      <c r="M92" s="74"/>
    </row>
    <row r="93" spans="1:13" s="6" customFormat="1" ht="15" customHeight="1">
      <c r="A93" s="136" t="s">
        <v>150</v>
      </c>
      <c r="B93" s="7" t="s">
        <v>137</v>
      </c>
      <c r="C93" s="36">
        <f>1610+26792-4735.85</f>
        <v>23666.15</v>
      </c>
      <c r="D93" s="36">
        <f t="shared" si="19"/>
        <v>23666.15</v>
      </c>
      <c r="E93" s="36"/>
      <c r="F93" s="36">
        <v>28402</v>
      </c>
      <c r="G93" s="36">
        <f>F93</f>
        <v>28402</v>
      </c>
      <c r="H93" s="36"/>
      <c r="I93" s="36">
        <v>28402</v>
      </c>
      <c r="J93" s="36">
        <f>I93</f>
        <v>28402</v>
      </c>
      <c r="K93" s="60"/>
      <c r="L93" s="73"/>
      <c r="M93" s="74"/>
    </row>
    <row r="94" spans="1:12" s="8" customFormat="1" ht="12.75" customHeight="1">
      <c r="A94" s="78" t="s">
        <v>33</v>
      </c>
      <c r="B94" s="7" t="s">
        <v>138</v>
      </c>
      <c r="C94" s="36">
        <f>C96+C100</f>
        <v>2754868.6500000004</v>
      </c>
      <c r="D94" s="36">
        <f>D96+D100</f>
        <v>2754868.6500000004</v>
      </c>
      <c r="E94" s="36">
        <v>0</v>
      </c>
      <c r="F94" s="36">
        <f aca="true" t="shared" si="20" ref="F94:K94">F96+F100</f>
        <v>2926308</v>
      </c>
      <c r="G94" s="36">
        <f t="shared" si="20"/>
        <v>2926308</v>
      </c>
      <c r="H94" s="36">
        <f t="shared" si="20"/>
        <v>0</v>
      </c>
      <c r="I94" s="36">
        <f t="shared" si="20"/>
        <v>2999208</v>
      </c>
      <c r="J94" s="36">
        <f t="shared" si="20"/>
        <v>2999208</v>
      </c>
      <c r="K94" s="60">
        <f t="shared" si="20"/>
        <v>0</v>
      </c>
      <c r="L94" s="73"/>
    </row>
    <row r="95" spans="1:12" s="8" customFormat="1" ht="12.75">
      <c r="A95" s="39" t="s">
        <v>12</v>
      </c>
      <c r="B95" s="27"/>
      <c r="C95" s="36"/>
      <c r="D95" s="36"/>
      <c r="E95" s="36"/>
      <c r="F95" s="36"/>
      <c r="G95" s="36"/>
      <c r="H95" s="36"/>
      <c r="I95" s="36"/>
      <c r="J95" s="36"/>
      <c r="K95" s="60"/>
      <c r="L95" s="73"/>
    </row>
    <row r="96" spans="1:12" s="4" customFormat="1" ht="12.75" customHeight="1">
      <c r="A96" s="35" t="s">
        <v>37</v>
      </c>
      <c r="B96" s="27" t="s">
        <v>139</v>
      </c>
      <c r="C96" s="22">
        <f>SUM(C98:C99)</f>
        <v>16163</v>
      </c>
      <c r="D96" s="22">
        <f>SUM(D98:D99)</f>
        <v>16163</v>
      </c>
      <c r="E96" s="22">
        <v>0</v>
      </c>
      <c r="F96" s="22">
        <f aca="true" t="shared" si="21" ref="F96:K96">SUM(F99:F99)</f>
        <v>16600</v>
      </c>
      <c r="G96" s="22">
        <f t="shared" si="21"/>
        <v>16600</v>
      </c>
      <c r="H96" s="22">
        <f t="shared" si="21"/>
        <v>0</v>
      </c>
      <c r="I96" s="22">
        <f t="shared" si="21"/>
        <v>16600</v>
      </c>
      <c r="J96" s="22">
        <f t="shared" si="21"/>
        <v>16600</v>
      </c>
      <c r="K96" s="28">
        <f t="shared" si="21"/>
        <v>0</v>
      </c>
      <c r="L96" s="73"/>
    </row>
    <row r="97" spans="1:12" s="6" customFormat="1" ht="12.75" hidden="1">
      <c r="A97" s="38" t="s">
        <v>10</v>
      </c>
      <c r="B97" s="27"/>
      <c r="C97" s="22"/>
      <c r="D97" s="36"/>
      <c r="E97" s="22"/>
      <c r="F97" s="22"/>
      <c r="G97" s="36"/>
      <c r="H97" s="22"/>
      <c r="I97" s="22"/>
      <c r="J97" s="36"/>
      <c r="K97" s="23"/>
      <c r="L97" s="73"/>
    </row>
    <row r="98" spans="1:12" s="6" customFormat="1" ht="12.75" hidden="1">
      <c r="A98" s="98" t="s">
        <v>176</v>
      </c>
      <c r="B98" s="27" t="s">
        <v>177</v>
      </c>
      <c r="C98" s="22">
        <v>3713</v>
      </c>
      <c r="D98" s="22">
        <f>C98</f>
        <v>3713</v>
      </c>
      <c r="E98" s="22"/>
      <c r="F98" s="22"/>
      <c r="G98" s="36"/>
      <c r="H98" s="22"/>
      <c r="I98" s="22"/>
      <c r="J98" s="36"/>
      <c r="K98" s="23"/>
      <c r="L98" s="73"/>
    </row>
    <row r="99" spans="1:12" s="6" customFormat="1" ht="12.75" hidden="1">
      <c r="A99" s="35" t="s">
        <v>35</v>
      </c>
      <c r="B99" s="27" t="s">
        <v>128</v>
      </c>
      <c r="C99" s="22">
        <f>16600-4150</f>
        <v>12450</v>
      </c>
      <c r="D99" s="22">
        <f>C99</f>
        <v>12450</v>
      </c>
      <c r="E99" s="22">
        <v>0</v>
      </c>
      <c r="F99" s="22">
        <v>16600</v>
      </c>
      <c r="G99" s="22">
        <f>F99</f>
        <v>16600</v>
      </c>
      <c r="H99" s="22">
        <v>0</v>
      </c>
      <c r="I99" s="22">
        <v>16600</v>
      </c>
      <c r="J99" s="22">
        <f>I99</f>
        <v>16600</v>
      </c>
      <c r="K99" s="23">
        <v>0</v>
      </c>
      <c r="L99" s="73"/>
    </row>
    <row r="100" spans="1:12" s="4" customFormat="1" ht="25.5" customHeight="1" thickBot="1">
      <c r="A100" s="18" t="s">
        <v>38</v>
      </c>
      <c r="B100" s="29" t="s">
        <v>140</v>
      </c>
      <c r="C100" s="63">
        <f>SUM(C102:C106)+0.93</f>
        <v>2738705.6500000004</v>
      </c>
      <c r="D100" s="63">
        <f>SUM(D102:D106)+0.93</f>
        <v>2738705.6500000004</v>
      </c>
      <c r="E100" s="63">
        <v>0</v>
      </c>
      <c r="F100" s="63">
        <f aca="true" t="shared" si="22" ref="F100:K100">SUM(F102:F106)</f>
        <v>2909708</v>
      </c>
      <c r="G100" s="63">
        <f t="shared" si="22"/>
        <v>2909708</v>
      </c>
      <c r="H100" s="63">
        <f t="shared" si="22"/>
        <v>0</v>
      </c>
      <c r="I100" s="63">
        <f t="shared" si="22"/>
        <v>2982608</v>
      </c>
      <c r="J100" s="63">
        <f t="shared" si="22"/>
        <v>2982608</v>
      </c>
      <c r="K100" s="64">
        <f t="shared" si="22"/>
        <v>0</v>
      </c>
      <c r="L100" s="73"/>
    </row>
    <row r="101" spans="1:12" s="6" customFormat="1" ht="12.75" customHeight="1" hidden="1">
      <c r="A101" s="37" t="s">
        <v>10</v>
      </c>
      <c r="B101" s="57"/>
      <c r="C101" s="58"/>
      <c r="D101" s="67"/>
      <c r="E101" s="58"/>
      <c r="F101" s="58"/>
      <c r="G101" s="67"/>
      <c r="H101" s="58"/>
      <c r="I101" s="58"/>
      <c r="J101" s="67"/>
      <c r="K101" s="59"/>
      <c r="L101" s="73"/>
    </row>
    <row r="102" spans="1:13" s="6" customFormat="1" ht="12.75" customHeight="1" hidden="1">
      <c r="A102" s="35" t="s">
        <v>39</v>
      </c>
      <c r="B102" s="27" t="s">
        <v>129</v>
      </c>
      <c r="C102" s="22">
        <f>10000-2822.3</f>
        <v>7177.7</v>
      </c>
      <c r="D102" s="22">
        <f>C102</f>
        <v>7177.7</v>
      </c>
      <c r="E102" s="22">
        <v>0</v>
      </c>
      <c r="F102" s="22">
        <v>10100</v>
      </c>
      <c r="G102" s="22">
        <f>F102</f>
        <v>10100</v>
      </c>
      <c r="H102" s="22"/>
      <c r="I102" s="22">
        <v>10100</v>
      </c>
      <c r="J102" s="22">
        <f>I102</f>
        <v>10100</v>
      </c>
      <c r="K102" s="23"/>
      <c r="L102" s="73"/>
      <c r="M102" s="74"/>
    </row>
    <row r="103" spans="1:13" s="6" customFormat="1" ht="12.75" customHeight="1" hidden="1">
      <c r="A103" s="35" t="s">
        <v>40</v>
      </c>
      <c r="B103" s="27" t="s">
        <v>130</v>
      </c>
      <c r="C103" s="22">
        <f>2318200-318200-15000</f>
        <v>1985000</v>
      </c>
      <c r="D103" s="22">
        <f>C103</f>
        <v>1985000</v>
      </c>
      <c r="E103" s="22"/>
      <c r="F103" s="22">
        <v>2388300</v>
      </c>
      <c r="G103" s="22">
        <f>F103</f>
        <v>2388300</v>
      </c>
      <c r="H103" s="22"/>
      <c r="I103" s="22">
        <v>2461200</v>
      </c>
      <c r="J103" s="22">
        <f>I103</f>
        <v>2461200</v>
      </c>
      <c r="K103" s="23"/>
      <c r="L103" s="73"/>
      <c r="M103" s="74"/>
    </row>
    <row r="104" spans="1:13" s="6" customFormat="1" ht="12.75" customHeight="1" hidden="1">
      <c r="A104" s="35" t="s">
        <v>41</v>
      </c>
      <c r="B104" s="27" t="s">
        <v>131</v>
      </c>
      <c r="C104" s="22">
        <f>78100+160000-2-20009.25</f>
        <v>218088.75</v>
      </c>
      <c r="D104" s="22">
        <f>C104</f>
        <v>218088.75</v>
      </c>
      <c r="E104" s="22"/>
      <c r="F104" s="22">
        <v>258608</v>
      </c>
      <c r="G104" s="22">
        <f>F104</f>
        <v>258608</v>
      </c>
      <c r="H104" s="22"/>
      <c r="I104" s="22">
        <v>258608</v>
      </c>
      <c r="J104" s="22">
        <f>I104</f>
        <v>258608</v>
      </c>
      <c r="K104" s="23"/>
      <c r="L104" s="73"/>
      <c r="M104" s="74"/>
    </row>
    <row r="105" spans="1:13" s="6" customFormat="1" ht="12.75" customHeight="1" hidden="1">
      <c r="A105" s="35" t="s">
        <v>42</v>
      </c>
      <c r="B105" s="27" t="s">
        <v>132</v>
      </c>
      <c r="C105" s="22">
        <f>17000-8900</f>
        <v>8100</v>
      </c>
      <c r="D105" s="22">
        <f>C105</f>
        <v>8100</v>
      </c>
      <c r="E105" s="61"/>
      <c r="F105" s="22">
        <v>17000</v>
      </c>
      <c r="G105" s="22">
        <f>F105</f>
        <v>17000</v>
      </c>
      <c r="H105" s="22"/>
      <c r="I105" s="22">
        <v>17000</v>
      </c>
      <c r="J105" s="22">
        <f>I105</f>
        <v>17000</v>
      </c>
      <c r="K105" s="62"/>
      <c r="L105" s="73"/>
      <c r="M105" s="74"/>
    </row>
    <row r="106" spans="1:13" s="6" customFormat="1" ht="26.25" customHeight="1" hidden="1" thickBot="1">
      <c r="A106" s="35" t="s">
        <v>43</v>
      </c>
      <c r="B106" s="27" t="s">
        <v>133</v>
      </c>
      <c r="C106" s="22">
        <f>163400+72300+252338.27+32300</f>
        <v>520338.27</v>
      </c>
      <c r="D106" s="22">
        <f>C106</f>
        <v>520338.27</v>
      </c>
      <c r="E106" s="58"/>
      <c r="F106" s="22">
        <f>163400+72300</f>
        <v>235700</v>
      </c>
      <c r="G106" s="22">
        <f>F106</f>
        <v>235700</v>
      </c>
      <c r="H106" s="22"/>
      <c r="I106" s="22">
        <f>163400+72300</f>
        <v>235700</v>
      </c>
      <c r="J106" s="22">
        <f>I106</f>
        <v>235700</v>
      </c>
      <c r="K106" s="59"/>
      <c r="L106" s="73"/>
      <c r="M106" s="74"/>
    </row>
    <row r="107" spans="1:12" s="6" customFormat="1" ht="18" customHeight="1">
      <c r="A107" s="19" t="s">
        <v>54</v>
      </c>
      <c r="B107" s="44"/>
      <c r="C107" s="30">
        <f>SUM(C108:C109)</f>
        <v>843700</v>
      </c>
      <c r="D107" s="30">
        <f>SUM(D108:D109)</f>
        <v>843700</v>
      </c>
      <c r="E107" s="30"/>
      <c r="F107" s="30">
        <f aca="true" t="shared" si="23" ref="F107:K107">SUM(F108:F109)</f>
        <v>929800</v>
      </c>
      <c r="G107" s="30">
        <f t="shared" si="23"/>
        <v>929800</v>
      </c>
      <c r="H107" s="30">
        <f t="shared" si="23"/>
        <v>0</v>
      </c>
      <c r="I107" s="30">
        <f t="shared" si="23"/>
        <v>1004100</v>
      </c>
      <c r="J107" s="30">
        <f t="shared" si="23"/>
        <v>1004100</v>
      </c>
      <c r="K107" s="40">
        <f t="shared" si="23"/>
        <v>0</v>
      </c>
      <c r="L107" s="73"/>
    </row>
    <row r="108" spans="1:13" s="4" customFormat="1" ht="14.25" customHeight="1">
      <c r="A108" s="14" t="s">
        <v>23</v>
      </c>
      <c r="B108" s="27" t="s">
        <v>118</v>
      </c>
      <c r="C108" s="22">
        <f>691360.6+128141.4</f>
        <v>819502</v>
      </c>
      <c r="D108" s="22">
        <f>C108</f>
        <v>819502</v>
      </c>
      <c r="E108" s="22"/>
      <c r="F108" s="22">
        <v>905602</v>
      </c>
      <c r="G108" s="22">
        <f>F108</f>
        <v>905602</v>
      </c>
      <c r="H108" s="22"/>
      <c r="I108" s="22">
        <v>979902</v>
      </c>
      <c r="J108" s="22">
        <f>I108</f>
        <v>979902</v>
      </c>
      <c r="K108" s="23"/>
      <c r="L108" s="73"/>
      <c r="M108" s="74"/>
    </row>
    <row r="109" spans="1:12" s="6" customFormat="1" ht="15.75" customHeight="1" thickBot="1">
      <c r="A109" s="144" t="s">
        <v>150</v>
      </c>
      <c r="B109" s="29" t="s">
        <v>137</v>
      </c>
      <c r="C109" s="63">
        <v>24198</v>
      </c>
      <c r="D109" s="63">
        <f>C109</f>
        <v>24198</v>
      </c>
      <c r="E109" s="63"/>
      <c r="F109" s="63">
        <v>24198</v>
      </c>
      <c r="G109" s="63">
        <f>F109</f>
        <v>24198</v>
      </c>
      <c r="H109" s="63"/>
      <c r="I109" s="63">
        <v>24198</v>
      </c>
      <c r="J109" s="63">
        <f>I109</f>
        <v>24198</v>
      </c>
      <c r="K109" s="64"/>
      <c r="L109" s="73"/>
    </row>
    <row r="110" spans="1:12" s="6" customFormat="1" ht="30.75" customHeight="1">
      <c r="A110" s="19" t="s">
        <v>55</v>
      </c>
      <c r="B110" s="44"/>
      <c r="C110" s="45">
        <f aca="true" t="shared" si="24" ref="C110:J110">C113+C142+C153</f>
        <v>5349152.72</v>
      </c>
      <c r="D110" s="45">
        <f t="shared" si="24"/>
        <v>5349152.72</v>
      </c>
      <c r="E110" s="45">
        <f t="shared" si="24"/>
        <v>0</v>
      </c>
      <c r="F110" s="45">
        <f t="shared" si="24"/>
        <v>5687300</v>
      </c>
      <c r="G110" s="45">
        <f t="shared" si="24"/>
        <v>5687300</v>
      </c>
      <c r="H110" s="45">
        <f t="shared" si="24"/>
        <v>0</v>
      </c>
      <c r="I110" s="45">
        <f t="shared" si="24"/>
        <v>3376700</v>
      </c>
      <c r="J110" s="45">
        <f t="shared" si="24"/>
        <v>3376700</v>
      </c>
      <c r="K110" s="46"/>
      <c r="L110" s="74"/>
    </row>
    <row r="111" spans="1:11" s="124" customFormat="1" ht="14.25" customHeight="1">
      <c r="A111" s="17" t="s">
        <v>10</v>
      </c>
      <c r="B111" s="57"/>
      <c r="C111" s="89"/>
      <c r="D111" s="58"/>
      <c r="E111" s="58"/>
      <c r="F111" s="58"/>
      <c r="G111" s="58"/>
      <c r="H111" s="58"/>
      <c r="I111" s="58"/>
      <c r="J111" s="58"/>
      <c r="K111" s="59"/>
    </row>
    <row r="112" spans="1:11" s="124" customFormat="1" ht="64.5" customHeight="1">
      <c r="A112" s="33" t="s">
        <v>92</v>
      </c>
      <c r="B112" s="57"/>
      <c r="C112" s="21">
        <f>C113+C142+C153</f>
        <v>5349152.72</v>
      </c>
      <c r="D112" s="21">
        <f>D113+D142+D153</f>
        <v>5349152.72</v>
      </c>
      <c r="E112" s="21"/>
      <c r="F112" s="21">
        <f>F113+F142+F153</f>
        <v>5687300</v>
      </c>
      <c r="G112" s="21">
        <f>G113+G142+G153</f>
        <v>5687300</v>
      </c>
      <c r="H112" s="21"/>
      <c r="I112" s="21">
        <f>I113+I142+I153</f>
        <v>3376700</v>
      </c>
      <c r="J112" s="21">
        <f>J113+J142+J153</f>
        <v>3376700</v>
      </c>
      <c r="K112" s="59"/>
    </row>
    <row r="113" spans="1:11" s="124" customFormat="1" ht="55.5" customHeight="1">
      <c r="A113" s="134" t="s">
        <v>93</v>
      </c>
      <c r="B113" s="57"/>
      <c r="C113" s="75">
        <f>C114+C125+C130</f>
        <v>4703052.72</v>
      </c>
      <c r="D113" s="75">
        <f>D114+D125+D130</f>
        <v>4703052.72</v>
      </c>
      <c r="E113" s="75"/>
      <c r="F113" s="75">
        <f>F114+F125+F130</f>
        <v>5398500</v>
      </c>
      <c r="G113" s="75">
        <f>G114+G125+G130</f>
        <v>5398500</v>
      </c>
      <c r="H113" s="75"/>
      <c r="I113" s="75">
        <f>I114+I125+I130</f>
        <v>2503400</v>
      </c>
      <c r="J113" s="75">
        <f>J114+J125+J130</f>
        <v>2503400</v>
      </c>
      <c r="K113" s="59"/>
    </row>
    <row r="114" spans="1:11" s="124" customFormat="1" ht="66.75" customHeight="1">
      <c r="A114" s="65" t="s">
        <v>94</v>
      </c>
      <c r="B114" s="57"/>
      <c r="C114" s="67">
        <f>C115+C119+C124</f>
        <v>718050</v>
      </c>
      <c r="D114" s="67">
        <f>D115+D119+D124</f>
        <v>718050</v>
      </c>
      <c r="E114" s="67">
        <f>E115+E119+E124</f>
        <v>0</v>
      </c>
      <c r="F114" s="67">
        <f>F115+F119+F124</f>
        <v>584000</v>
      </c>
      <c r="G114" s="67">
        <f>G115+G119+G124</f>
        <v>584000</v>
      </c>
      <c r="H114" s="67"/>
      <c r="I114" s="67">
        <f>I115+I119+I124</f>
        <v>684000</v>
      </c>
      <c r="J114" s="67">
        <f>J115+J119+J124</f>
        <v>684000</v>
      </c>
      <c r="K114" s="59"/>
    </row>
    <row r="115" spans="1:11" s="124" customFormat="1" ht="40.5" customHeight="1">
      <c r="A115" s="79" t="s">
        <v>100</v>
      </c>
      <c r="B115" s="57"/>
      <c r="C115" s="67">
        <f>SUM(C116:C118)</f>
        <v>114900</v>
      </c>
      <c r="D115" s="67">
        <f>SUM(D116:D118)</f>
        <v>114900</v>
      </c>
      <c r="E115" s="67"/>
      <c r="F115" s="67">
        <f>SUM(F117:F118)</f>
        <v>0</v>
      </c>
      <c r="G115" s="67">
        <f>SUM(G117:G118)</f>
        <v>0</v>
      </c>
      <c r="H115" s="67"/>
      <c r="I115" s="67">
        <f>SUM(I117:I118)</f>
        <v>0</v>
      </c>
      <c r="J115" s="67">
        <f>SUM(J117:J118)</f>
        <v>0</v>
      </c>
      <c r="K115" s="59"/>
    </row>
    <row r="116" spans="1:11" s="3" customFormat="1" ht="15.75" customHeight="1">
      <c r="A116" s="35" t="s">
        <v>24</v>
      </c>
      <c r="B116" s="27" t="s">
        <v>146</v>
      </c>
      <c r="C116" s="22">
        <v>20000</v>
      </c>
      <c r="D116" s="41">
        <f>C116</f>
        <v>20000</v>
      </c>
      <c r="E116" s="41"/>
      <c r="F116" s="41"/>
      <c r="G116" s="41"/>
      <c r="H116" s="41"/>
      <c r="I116" s="41"/>
      <c r="J116" s="41"/>
      <c r="K116" s="42"/>
    </row>
    <row r="117" spans="1:11" s="3" customFormat="1" ht="16.5" customHeight="1">
      <c r="A117" s="116" t="s">
        <v>37</v>
      </c>
      <c r="B117" s="27" t="s">
        <v>141</v>
      </c>
      <c r="C117" s="22">
        <v>67400</v>
      </c>
      <c r="D117" s="41">
        <f>C117</f>
        <v>67400</v>
      </c>
      <c r="E117" s="41"/>
      <c r="F117" s="41"/>
      <c r="G117" s="41"/>
      <c r="H117" s="41"/>
      <c r="I117" s="41"/>
      <c r="J117" s="41"/>
      <c r="K117" s="42"/>
    </row>
    <row r="118" spans="1:11" s="3" customFormat="1" ht="29.25" customHeight="1">
      <c r="A118" s="116" t="s">
        <v>38</v>
      </c>
      <c r="B118" s="27" t="s">
        <v>142</v>
      </c>
      <c r="C118" s="22">
        <v>27500</v>
      </c>
      <c r="D118" s="41">
        <f>C118</f>
        <v>27500</v>
      </c>
      <c r="E118" s="41"/>
      <c r="F118" s="41"/>
      <c r="G118" s="41"/>
      <c r="H118" s="41"/>
      <c r="I118" s="41"/>
      <c r="J118" s="41"/>
      <c r="K118" s="42"/>
    </row>
    <row r="119" spans="1:11" s="3" customFormat="1" ht="42" customHeight="1">
      <c r="A119" s="16" t="s">
        <v>101</v>
      </c>
      <c r="B119" s="26"/>
      <c r="C119" s="41">
        <f>C121+C122+C120</f>
        <v>550000</v>
      </c>
      <c r="D119" s="41">
        <f aca="true" t="shared" si="25" ref="D119:J119">D121+D122+D120</f>
        <v>550000</v>
      </c>
      <c r="E119" s="41">
        <f t="shared" si="25"/>
        <v>0</v>
      </c>
      <c r="F119" s="41">
        <f t="shared" si="25"/>
        <v>0</v>
      </c>
      <c r="G119" s="41">
        <f t="shared" si="25"/>
        <v>0</v>
      </c>
      <c r="H119" s="41">
        <f t="shared" si="25"/>
        <v>0</v>
      </c>
      <c r="I119" s="41">
        <f t="shared" si="25"/>
        <v>0</v>
      </c>
      <c r="J119" s="41">
        <f t="shared" si="25"/>
        <v>0</v>
      </c>
      <c r="K119" s="42"/>
    </row>
    <row r="120" spans="1:11" s="3" customFormat="1" ht="17.25" customHeight="1">
      <c r="A120" s="16" t="s">
        <v>103</v>
      </c>
      <c r="B120" s="26" t="s">
        <v>145</v>
      </c>
      <c r="C120" s="41">
        <v>5409.32</v>
      </c>
      <c r="D120" s="41">
        <f>C120</f>
        <v>5409.32</v>
      </c>
      <c r="E120" s="41"/>
      <c r="F120" s="41"/>
      <c r="G120" s="41"/>
      <c r="H120" s="41"/>
      <c r="I120" s="41"/>
      <c r="J120" s="41"/>
      <c r="K120" s="42"/>
    </row>
    <row r="121" spans="1:11" s="3" customFormat="1" ht="17.25" customHeight="1">
      <c r="A121" s="16" t="s">
        <v>37</v>
      </c>
      <c r="B121" s="26" t="s">
        <v>141</v>
      </c>
      <c r="C121" s="41">
        <v>544000</v>
      </c>
      <c r="D121" s="41">
        <f>C121</f>
        <v>544000</v>
      </c>
      <c r="E121" s="41"/>
      <c r="F121" s="41"/>
      <c r="G121" s="41"/>
      <c r="H121" s="41"/>
      <c r="I121" s="41"/>
      <c r="J121" s="41"/>
      <c r="K121" s="42"/>
    </row>
    <row r="122" spans="1:11" s="3" customFormat="1" ht="27.75" customHeight="1">
      <c r="A122" s="16" t="s">
        <v>38</v>
      </c>
      <c r="B122" s="26" t="s">
        <v>142</v>
      </c>
      <c r="C122" s="41">
        <v>590.68</v>
      </c>
      <c r="D122" s="41">
        <f>C122</f>
        <v>590.68</v>
      </c>
      <c r="E122" s="41"/>
      <c r="F122" s="41"/>
      <c r="G122" s="41"/>
      <c r="H122" s="41"/>
      <c r="I122" s="41"/>
      <c r="J122" s="41"/>
      <c r="K122" s="42"/>
    </row>
    <row r="123" spans="1:11" s="3" customFormat="1" ht="39.75" customHeight="1">
      <c r="A123" s="16" t="s">
        <v>102</v>
      </c>
      <c r="B123" s="26"/>
      <c r="C123" s="41">
        <f>C124</f>
        <v>53150</v>
      </c>
      <c r="D123" s="41">
        <f>D124</f>
        <v>53150</v>
      </c>
      <c r="E123" s="41"/>
      <c r="F123" s="41">
        <f>F124</f>
        <v>584000</v>
      </c>
      <c r="G123" s="41">
        <f>G124</f>
        <v>584000</v>
      </c>
      <c r="H123" s="41"/>
      <c r="I123" s="41">
        <f>I124</f>
        <v>684000</v>
      </c>
      <c r="J123" s="41">
        <f>J124</f>
        <v>684000</v>
      </c>
      <c r="K123" s="42"/>
    </row>
    <row r="124" spans="1:11" s="3" customFormat="1" ht="17.25" customHeight="1">
      <c r="A124" s="16" t="s">
        <v>37</v>
      </c>
      <c r="B124" s="26" t="s">
        <v>141</v>
      </c>
      <c r="C124" s="41">
        <v>53150</v>
      </c>
      <c r="D124" s="41">
        <f>C124</f>
        <v>53150</v>
      </c>
      <c r="E124" s="41"/>
      <c r="F124" s="41">
        <v>584000</v>
      </c>
      <c r="G124" s="41">
        <f>F124</f>
        <v>584000</v>
      </c>
      <c r="H124" s="41"/>
      <c r="I124" s="41">
        <v>684000</v>
      </c>
      <c r="J124" s="41">
        <f>I124</f>
        <v>684000</v>
      </c>
      <c r="K124" s="42"/>
    </row>
    <row r="125" spans="1:11" s="3" customFormat="1" ht="91.5" customHeight="1">
      <c r="A125" s="13" t="s">
        <v>95</v>
      </c>
      <c r="B125" s="26"/>
      <c r="C125" s="88">
        <f aca="true" t="shared" si="26" ref="C125:J125">C127+C129</f>
        <v>1200000</v>
      </c>
      <c r="D125" s="88">
        <f t="shared" si="26"/>
        <v>1200000</v>
      </c>
      <c r="E125" s="88">
        <f t="shared" si="26"/>
        <v>0</v>
      </c>
      <c r="F125" s="88">
        <f t="shared" si="26"/>
        <v>1540600</v>
      </c>
      <c r="G125" s="88">
        <f t="shared" si="26"/>
        <v>1540600</v>
      </c>
      <c r="H125" s="88">
        <f t="shared" si="26"/>
        <v>0</v>
      </c>
      <c r="I125" s="88">
        <f t="shared" si="26"/>
        <v>1819400</v>
      </c>
      <c r="J125" s="88">
        <f t="shared" si="26"/>
        <v>1819400</v>
      </c>
      <c r="K125" s="42"/>
    </row>
    <row r="126" spans="1:11" s="3" customFormat="1" ht="68.25" customHeight="1">
      <c r="A126" s="80" t="s">
        <v>44</v>
      </c>
      <c r="B126" s="26"/>
      <c r="C126" s="90">
        <f>C127</f>
        <v>380000</v>
      </c>
      <c r="D126" s="90">
        <f>D127</f>
        <v>380000</v>
      </c>
      <c r="E126" s="90"/>
      <c r="F126" s="90">
        <f>F127</f>
        <v>389800</v>
      </c>
      <c r="G126" s="90">
        <f>G127</f>
        <v>389800</v>
      </c>
      <c r="H126" s="90"/>
      <c r="I126" s="90">
        <f>I127</f>
        <v>405400</v>
      </c>
      <c r="J126" s="90">
        <f>J127</f>
        <v>405400</v>
      </c>
      <c r="K126" s="82"/>
    </row>
    <row r="127" spans="1:11" s="3" customFormat="1" ht="38.25" customHeight="1">
      <c r="A127" s="80" t="s">
        <v>16</v>
      </c>
      <c r="B127" s="26" t="s">
        <v>143</v>
      </c>
      <c r="C127" s="41">
        <v>380000</v>
      </c>
      <c r="D127" s="41">
        <f>C127</f>
        <v>380000</v>
      </c>
      <c r="E127" s="41"/>
      <c r="F127" s="22">
        <v>389800</v>
      </c>
      <c r="G127" s="22">
        <f>F127</f>
        <v>389800</v>
      </c>
      <c r="H127" s="22"/>
      <c r="I127" s="22">
        <v>405400</v>
      </c>
      <c r="J127" s="22">
        <f>I127</f>
        <v>405400</v>
      </c>
      <c r="K127" s="42"/>
    </row>
    <row r="128" spans="1:11" s="3" customFormat="1" ht="53.25" customHeight="1">
      <c r="A128" s="16" t="s">
        <v>67</v>
      </c>
      <c r="B128" s="26"/>
      <c r="C128" s="41">
        <f>C129</f>
        <v>820000</v>
      </c>
      <c r="D128" s="41">
        <f>D129</f>
        <v>820000</v>
      </c>
      <c r="E128" s="41"/>
      <c r="F128" s="22">
        <f>F129</f>
        <v>1150800</v>
      </c>
      <c r="G128" s="22">
        <f>G129</f>
        <v>1150800</v>
      </c>
      <c r="H128" s="22"/>
      <c r="I128" s="22">
        <f>I129</f>
        <v>1414000</v>
      </c>
      <c r="J128" s="22">
        <f>J129</f>
        <v>1414000</v>
      </c>
      <c r="K128" s="42"/>
    </row>
    <row r="129" spans="1:11" s="3" customFormat="1" ht="18" customHeight="1">
      <c r="A129" s="16" t="s">
        <v>17</v>
      </c>
      <c r="B129" s="26" t="s">
        <v>144</v>
      </c>
      <c r="C129" s="41">
        <v>820000</v>
      </c>
      <c r="D129" s="41">
        <f>C129</f>
        <v>820000</v>
      </c>
      <c r="E129" s="41"/>
      <c r="F129" s="41">
        <v>1150800</v>
      </c>
      <c r="G129" s="41">
        <f>F129</f>
        <v>1150800</v>
      </c>
      <c r="H129" s="41"/>
      <c r="I129" s="41">
        <v>1414000</v>
      </c>
      <c r="J129" s="41">
        <f>I129</f>
        <v>1414000</v>
      </c>
      <c r="K129" s="42"/>
    </row>
    <row r="130" spans="1:11" s="3" customFormat="1" ht="80.25" customHeight="1">
      <c r="A130" s="84" t="s">
        <v>96</v>
      </c>
      <c r="B130" s="26"/>
      <c r="C130" s="83">
        <f>C131+C134+C138</f>
        <v>2785002.7199999997</v>
      </c>
      <c r="D130" s="83">
        <f>C130</f>
        <v>2785002.7199999997</v>
      </c>
      <c r="E130" s="83"/>
      <c r="F130" s="83">
        <f>F132+F133+F135+F136+F139+F140+F141</f>
        <v>3273900</v>
      </c>
      <c r="G130" s="83">
        <f>G132+G133+G135+G136+G139+G140+G141</f>
        <v>3273900</v>
      </c>
      <c r="H130" s="83"/>
      <c r="I130" s="83">
        <f>I132+I133+I135+I136+I139+I140+I141</f>
        <v>0</v>
      </c>
      <c r="J130" s="83">
        <f>J132+J133+J135+J136+J139+J140+J141</f>
        <v>0</v>
      </c>
      <c r="K130" s="82"/>
    </row>
    <row r="131" spans="1:11" s="3" customFormat="1" ht="53.25" customHeight="1">
      <c r="A131" s="16" t="s">
        <v>106</v>
      </c>
      <c r="B131" s="26"/>
      <c r="C131" s="90">
        <f aca="true" t="shared" si="27" ref="C131:J131">C132+C133</f>
        <v>124500</v>
      </c>
      <c r="D131" s="90">
        <f t="shared" si="27"/>
        <v>124500</v>
      </c>
      <c r="E131" s="90">
        <f t="shared" si="27"/>
        <v>0</v>
      </c>
      <c r="F131" s="90">
        <f t="shared" si="27"/>
        <v>0</v>
      </c>
      <c r="G131" s="90">
        <f t="shared" si="27"/>
        <v>0</v>
      </c>
      <c r="H131" s="90">
        <f t="shared" si="27"/>
        <v>0</v>
      </c>
      <c r="I131" s="90">
        <f t="shared" si="27"/>
        <v>0</v>
      </c>
      <c r="J131" s="90">
        <f t="shared" si="27"/>
        <v>0</v>
      </c>
      <c r="K131" s="82"/>
    </row>
    <row r="132" spans="1:11" s="3" customFormat="1" ht="16.5" customHeight="1">
      <c r="A132" s="16" t="s">
        <v>103</v>
      </c>
      <c r="B132" s="26" t="s">
        <v>145</v>
      </c>
      <c r="C132" s="41">
        <v>117100</v>
      </c>
      <c r="D132" s="41">
        <f>C132</f>
        <v>117100</v>
      </c>
      <c r="E132" s="41"/>
      <c r="F132" s="41"/>
      <c r="G132" s="41"/>
      <c r="H132" s="41"/>
      <c r="I132" s="41"/>
      <c r="J132" s="41"/>
      <c r="K132" s="42"/>
    </row>
    <row r="133" spans="1:11" s="3" customFormat="1" ht="15.75" customHeight="1">
      <c r="A133" s="16" t="s">
        <v>37</v>
      </c>
      <c r="B133" s="26" t="s">
        <v>141</v>
      </c>
      <c r="C133" s="41">
        <v>7400</v>
      </c>
      <c r="D133" s="41">
        <f>C133</f>
        <v>7400</v>
      </c>
      <c r="E133" s="41"/>
      <c r="F133" s="41"/>
      <c r="G133" s="41"/>
      <c r="H133" s="41"/>
      <c r="I133" s="41"/>
      <c r="J133" s="41"/>
      <c r="K133" s="42"/>
    </row>
    <row r="134" spans="1:11" s="3" customFormat="1" ht="56.25" customHeight="1">
      <c r="A134" s="31" t="s">
        <v>105</v>
      </c>
      <c r="B134" s="26"/>
      <c r="C134" s="41">
        <f>C135+C136+C137</f>
        <v>2641502.7199999997</v>
      </c>
      <c r="D134" s="41">
        <f aca="true" t="shared" si="28" ref="D134:K134">D135+D136+D137</f>
        <v>2641502.7199999997</v>
      </c>
      <c r="E134" s="41">
        <f t="shared" si="28"/>
        <v>0</v>
      </c>
      <c r="F134" s="41">
        <f t="shared" si="28"/>
        <v>3273900</v>
      </c>
      <c r="G134" s="41">
        <f t="shared" si="28"/>
        <v>3273900</v>
      </c>
      <c r="H134" s="41">
        <f t="shared" si="28"/>
        <v>0</v>
      </c>
      <c r="I134" s="41">
        <f t="shared" si="28"/>
        <v>0</v>
      </c>
      <c r="J134" s="41">
        <f t="shared" si="28"/>
        <v>0</v>
      </c>
      <c r="K134" s="41">
        <f t="shared" si="28"/>
        <v>0</v>
      </c>
    </row>
    <row r="135" spans="1:11" s="3" customFormat="1" ht="15.75" customHeight="1">
      <c r="A135" s="31" t="s">
        <v>24</v>
      </c>
      <c r="B135" s="26" t="s">
        <v>146</v>
      </c>
      <c r="C135" s="41">
        <v>1321128.72</v>
      </c>
      <c r="D135" s="41">
        <f>C135</f>
        <v>1321128.72</v>
      </c>
      <c r="E135" s="41"/>
      <c r="F135" s="41">
        <v>3273900</v>
      </c>
      <c r="G135" s="41">
        <f>F135</f>
        <v>3273900</v>
      </c>
      <c r="H135" s="41"/>
      <c r="I135" s="41"/>
      <c r="J135" s="41"/>
      <c r="K135" s="42"/>
    </row>
    <row r="136" spans="1:11" s="3" customFormat="1" ht="15.75" customHeight="1">
      <c r="A136" s="16" t="s">
        <v>103</v>
      </c>
      <c r="B136" s="26" t="s">
        <v>145</v>
      </c>
      <c r="C136" s="41">
        <v>371174</v>
      </c>
      <c r="D136" s="41">
        <f>C136</f>
        <v>371174</v>
      </c>
      <c r="E136" s="41"/>
      <c r="F136" s="41"/>
      <c r="G136" s="41"/>
      <c r="H136" s="41"/>
      <c r="I136" s="41"/>
      <c r="J136" s="41"/>
      <c r="K136" s="42"/>
    </row>
    <row r="137" spans="1:11" s="3" customFormat="1" ht="15.75" customHeight="1">
      <c r="A137" s="16" t="s">
        <v>37</v>
      </c>
      <c r="B137" s="26" t="s">
        <v>141</v>
      </c>
      <c r="C137" s="41">
        <v>949200</v>
      </c>
      <c r="D137" s="41">
        <f>C137</f>
        <v>949200</v>
      </c>
      <c r="E137" s="41"/>
      <c r="F137" s="41"/>
      <c r="G137" s="41"/>
      <c r="H137" s="41"/>
      <c r="I137" s="41"/>
      <c r="J137" s="41"/>
      <c r="K137" s="42"/>
    </row>
    <row r="138" spans="1:11" s="3" customFormat="1" ht="53.25" customHeight="1">
      <c r="A138" s="16" t="s">
        <v>104</v>
      </c>
      <c r="B138" s="26"/>
      <c r="C138" s="41">
        <f aca="true" t="shared" si="29" ref="C138:J138">SUM(C139:C141)</f>
        <v>19000</v>
      </c>
      <c r="D138" s="41">
        <f t="shared" si="29"/>
        <v>19000</v>
      </c>
      <c r="E138" s="41">
        <f t="shared" si="29"/>
        <v>0</v>
      </c>
      <c r="F138" s="41">
        <f t="shared" si="29"/>
        <v>0</v>
      </c>
      <c r="G138" s="41">
        <f t="shared" si="29"/>
        <v>0</v>
      </c>
      <c r="H138" s="41">
        <f t="shared" si="29"/>
        <v>0</v>
      </c>
      <c r="I138" s="41">
        <f t="shared" si="29"/>
        <v>0</v>
      </c>
      <c r="J138" s="41">
        <f t="shared" si="29"/>
        <v>0</v>
      </c>
      <c r="K138" s="42"/>
    </row>
    <row r="139" spans="1:11" s="3" customFormat="1" ht="15.75" customHeight="1">
      <c r="A139" s="16" t="s">
        <v>57</v>
      </c>
      <c r="B139" s="26" t="s">
        <v>147</v>
      </c>
      <c r="C139" s="41">
        <v>3000</v>
      </c>
      <c r="D139" s="41">
        <f>C139</f>
        <v>3000</v>
      </c>
      <c r="E139" s="41"/>
      <c r="F139" s="41"/>
      <c r="G139" s="41"/>
      <c r="H139" s="41"/>
      <c r="I139" s="41"/>
      <c r="J139" s="41"/>
      <c r="K139" s="42"/>
    </row>
    <row r="140" spans="1:11" s="3" customFormat="1" ht="15.75" customHeight="1">
      <c r="A140" s="16" t="s">
        <v>103</v>
      </c>
      <c r="B140" s="26" t="s">
        <v>145</v>
      </c>
      <c r="C140" s="22">
        <v>2000</v>
      </c>
      <c r="D140" s="22">
        <v>2000</v>
      </c>
      <c r="E140" s="22"/>
      <c r="F140" s="22"/>
      <c r="G140" s="22"/>
      <c r="H140" s="22"/>
      <c r="I140" s="22"/>
      <c r="J140" s="22"/>
      <c r="K140" s="42"/>
    </row>
    <row r="141" spans="1:11" s="3" customFormat="1" ht="15.75" customHeight="1">
      <c r="A141" s="16" t="s">
        <v>37</v>
      </c>
      <c r="B141" s="26" t="s">
        <v>141</v>
      </c>
      <c r="C141" s="41">
        <v>14000</v>
      </c>
      <c r="D141" s="41">
        <f>C141</f>
        <v>14000</v>
      </c>
      <c r="E141" s="41"/>
      <c r="F141" s="41"/>
      <c r="G141" s="41"/>
      <c r="H141" s="41"/>
      <c r="I141" s="41"/>
      <c r="J141" s="41"/>
      <c r="K141" s="42"/>
    </row>
    <row r="142" spans="1:11" s="3" customFormat="1" ht="39.75" customHeight="1">
      <c r="A142" s="135" t="s">
        <v>97</v>
      </c>
      <c r="B142" s="26"/>
      <c r="C142" s="85">
        <f aca="true" t="shared" si="30" ref="C142:J142">C146+C143</f>
        <v>514100</v>
      </c>
      <c r="D142" s="85">
        <f t="shared" si="30"/>
        <v>514100</v>
      </c>
      <c r="E142" s="85">
        <f t="shared" si="30"/>
        <v>0</v>
      </c>
      <c r="F142" s="85">
        <f t="shared" si="30"/>
        <v>156800</v>
      </c>
      <c r="G142" s="85">
        <f t="shared" si="30"/>
        <v>156800</v>
      </c>
      <c r="H142" s="85">
        <f t="shared" si="30"/>
        <v>0</v>
      </c>
      <c r="I142" s="85">
        <f t="shared" si="30"/>
        <v>583300</v>
      </c>
      <c r="J142" s="85">
        <f t="shared" si="30"/>
        <v>583300</v>
      </c>
      <c r="K142" s="82"/>
    </row>
    <row r="143" spans="1:11" s="3" customFormat="1" ht="27.75" customHeight="1">
      <c r="A143" s="84" t="s">
        <v>161</v>
      </c>
      <c r="B143" s="26"/>
      <c r="C143" s="90">
        <v>400000</v>
      </c>
      <c r="D143" s="90">
        <v>400000</v>
      </c>
      <c r="E143" s="85"/>
      <c r="F143" s="85"/>
      <c r="G143" s="85"/>
      <c r="H143" s="85"/>
      <c r="I143" s="90">
        <v>464200</v>
      </c>
      <c r="J143" s="90">
        <v>464200</v>
      </c>
      <c r="K143" s="82"/>
    </row>
    <row r="144" spans="1:11" s="124" customFormat="1" ht="103.5" customHeight="1">
      <c r="A144" s="17" t="s">
        <v>181</v>
      </c>
      <c r="B144" s="26"/>
      <c r="C144" s="58">
        <v>400000</v>
      </c>
      <c r="D144" s="58">
        <v>400000</v>
      </c>
      <c r="E144" s="58"/>
      <c r="F144" s="58"/>
      <c r="G144" s="58"/>
      <c r="H144" s="58"/>
      <c r="I144" s="58">
        <f>I145</f>
        <v>464200</v>
      </c>
      <c r="J144" s="58">
        <f>J145</f>
        <v>464200</v>
      </c>
      <c r="K144" s="59"/>
    </row>
    <row r="145" spans="1:11" s="124" customFormat="1" ht="19.5" customHeight="1">
      <c r="A145" s="16" t="s">
        <v>37</v>
      </c>
      <c r="B145" s="26" t="s">
        <v>164</v>
      </c>
      <c r="C145" s="58">
        <v>400000</v>
      </c>
      <c r="D145" s="58">
        <v>400000</v>
      </c>
      <c r="E145" s="58"/>
      <c r="F145" s="58"/>
      <c r="G145" s="58"/>
      <c r="H145" s="58"/>
      <c r="I145" s="58">
        <v>464200</v>
      </c>
      <c r="J145" s="58">
        <v>464200</v>
      </c>
      <c r="K145" s="59"/>
    </row>
    <row r="146" spans="1:11" s="3" customFormat="1" ht="79.5" customHeight="1">
      <c r="A146" s="84" t="s">
        <v>98</v>
      </c>
      <c r="B146" s="26"/>
      <c r="C146" s="83">
        <f>C148+C150+C152</f>
        <v>114100</v>
      </c>
      <c r="D146" s="83">
        <f>D148+D150+D152</f>
        <v>114100</v>
      </c>
      <c r="E146" s="83"/>
      <c r="F146" s="83">
        <f>F148+F150+F152</f>
        <v>156800</v>
      </c>
      <c r="G146" s="83">
        <f>G148+G150+G152</f>
        <v>156800</v>
      </c>
      <c r="H146" s="83"/>
      <c r="I146" s="83">
        <f>I148+I150+I152</f>
        <v>119100</v>
      </c>
      <c r="J146" s="83">
        <f>J148+J150+J152</f>
        <v>119100</v>
      </c>
      <c r="K146" s="82"/>
    </row>
    <row r="147" spans="1:11" ht="51">
      <c r="A147" s="17" t="s">
        <v>90</v>
      </c>
      <c r="B147" s="25"/>
      <c r="C147" s="93">
        <f aca="true" t="shared" si="31" ref="C147:J147">C148</f>
        <v>14100</v>
      </c>
      <c r="D147" s="93">
        <f t="shared" si="31"/>
        <v>14100</v>
      </c>
      <c r="E147" s="93">
        <f t="shared" si="31"/>
        <v>0</v>
      </c>
      <c r="F147" s="93">
        <f t="shared" si="31"/>
        <v>19100</v>
      </c>
      <c r="G147" s="93">
        <f t="shared" si="31"/>
        <v>19100</v>
      </c>
      <c r="H147" s="93">
        <f t="shared" si="31"/>
        <v>0</v>
      </c>
      <c r="I147" s="93">
        <f t="shared" si="31"/>
        <v>19100</v>
      </c>
      <c r="J147" s="93">
        <f t="shared" si="31"/>
        <v>19100</v>
      </c>
      <c r="K147" s="92"/>
    </row>
    <row r="148" spans="1:11" s="124" customFormat="1" ht="16.5" customHeight="1">
      <c r="A148" s="16" t="s">
        <v>103</v>
      </c>
      <c r="B148" s="91" t="s">
        <v>148</v>
      </c>
      <c r="C148" s="58">
        <v>14100</v>
      </c>
      <c r="D148" s="58">
        <f>C148</f>
        <v>14100</v>
      </c>
      <c r="E148" s="58"/>
      <c r="F148" s="58">
        <v>19100</v>
      </c>
      <c r="G148" s="58">
        <f>F148</f>
        <v>19100</v>
      </c>
      <c r="H148" s="58"/>
      <c r="I148" s="58">
        <v>19100</v>
      </c>
      <c r="J148" s="58">
        <f>I148</f>
        <v>19100</v>
      </c>
      <c r="K148" s="59"/>
    </row>
    <row r="149" spans="1:11" s="124" customFormat="1" ht="28.5" customHeight="1">
      <c r="A149" s="79" t="s">
        <v>87</v>
      </c>
      <c r="B149" s="91"/>
      <c r="C149" s="58">
        <f>C150</f>
        <v>0</v>
      </c>
      <c r="D149" s="58">
        <f>D150</f>
        <v>0</v>
      </c>
      <c r="E149" s="58"/>
      <c r="F149" s="58">
        <f>F150</f>
        <v>37700</v>
      </c>
      <c r="G149" s="58">
        <f>G150</f>
        <v>37700</v>
      </c>
      <c r="H149" s="58"/>
      <c r="I149" s="58">
        <f>I150</f>
        <v>0</v>
      </c>
      <c r="J149" s="58">
        <f>J150</f>
        <v>0</v>
      </c>
      <c r="K149" s="59"/>
    </row>
    <row r="150" spans="1:11" s="2" customFormat="1" ht="18" customHeight="1">
      <c r="A150" s="16" t="s">
        <v>103</v>
      </c>
      <c r="B150" s="26" t="s">
        <v>148</v>
      </c>
      <c r="C150" s="41"/>
      <c r="D150" s="41"/>
      <c r="E150" s="41"/>
      <c r="F150" s="41">
        <v>37700</v>
      </c>
      <c r="G150" s="58">
        <f>F150</f>
        <v>37700</v>
      </c>
      <c r="H150" s="41"/>
      <c r="I150" s="41"/>
      <c r="J150" s="41"/>
      <c r="K150" s="42"/>
    </row>
    <row r="151" spans="1:11" s="2" customFormat="1" ht="39" customHeight="1">
      <c r="A151" s="79" t="s">
        <v>58</v>
      </c>
      <c r="B151" s="26"/>
      <c r="C151" s="41">
        <f>C152</f>
        <v>100000</v>
      </c>
      <c r="D151" s="41">
        <f>D152</f>
        <v>100000</v>
      </c>
      <c r="E151" s="41"/>
      <c r="F151" s="41">
        <f>F152</f>
        <v>100000</v>
      </c>
      <c r="G151" s="41">
        <f>G152</f>
        <v>100000</v>
      </c>
      <c r="H151" s="41"/>
      <c r="I151" s="41">
        <f>I152</f>
        <v>100000</v>
      </c>
      <c r="J151" s="41">
        <f>J152</f>
        <v>100000</v>
      </c>
      <c r="K151" s="42"/>
    </row>
    <row r="152" spans="1:11" s="2" customFormat="1" ht="17.25" customHeight="1">
      <c r="A152" s="79" t="s">
        <v>107</v>
      </c>
      <c r="B152" s="26" t="s">
        <v>108</v>
      </c>
      <c r="C152" s="41">
        <v>100000</v>
      </c>
      <c r="D152" s="41">
        <f>C152</f>
        <v>100000</v>
      </c>
      <c r="E152" s="41"/>
      <c r="F152" s="41">
        <v>100000</v>
      </c>
      <c r="G152" s="41">
        <f>F152</f>
        <v>100000</v>
      </c>
      <c r="H152" s="41"/>
      <c r="I152" s="41">
        <v>100000</v>
      </c>
      <c r="J152" s="41">
        <f>I152</f>
        <v>100000</v>
      </c>
      <c r="K152" s="42"/>
    </row>
    <row r="153" spans="1:11" s="2" customFormat="1" ht="39.75" customHeight="1">
      <c r="A153" s="86" t="s">
        <v>99</v>
      </c>
      <c r="B153" s="26"/>
      <c r="C153" s="90">
        <f>C154</f>
        <v>132000</v>
      </c>
      <c r="D153" s="90">
        <f>D154</f>
        <v>132000</v>
      </c>
      <c r="E153" s="90"/>
      <c r="F153" s="90">
        <f>F154</f>
        <v>132000</v>
      </c>
      <c r="G153" s="90">
        <f>G154</f>
        <v>132000</v>
      </c>
      <c r="H153" s="90"/>
      <c r="I153" s="90">
        <f>I154</f>
        <v>290000</v>
      </c>
      <c r="J153" s="90">
        <f>J154</f>
        <v>290000</v>
      </c>
      <c r="K153" s="42"/>
    </row>
    <row r="154" spans="1:11" s="2" customFormat="1" ht="41.25" customHeight="1">
      <c r="A154" s="86" t="s">
        <v>157</v>
      </c>
      <c r="B154" s="26"/>
      <c r="C154" s="88">
        <f>SUM(C156:C158)</f>
        <v>132000</v>
      </c>
      <c r="D154" s="88">
        <f>SUM(D156:D158)</f>
        <v>132000</v>
      </c>
      <c r="E154" s="88"/>
      <c r="F154" s="88">
        <f>SUM(F156:F158)</f>
        <v>132000</v>
      </c>
      <c r="G154" s="88">
        <f>SUM(G156:G158)</f>
        <v>132000</v>
      </c>
      <c r="H154" s="88"/>
      <c r="I154" s="88">
        <f>SUM(I156:I158)</f>
        <v>290000</v>
      </c>
      <c r="J154" s="88">
        <f>SUM(J156:J158)</f>
        <v>290000</v>
      </c>
      <c r="K154" s="42"/>
    </row>
    <row r="155" spans="1:11" s="2" customFormat="1" ht="31.5" customHeight="1">
      <c r="A155" s="94" t="s">
        <v>91</v>
      </c>
      <c r="B155" s="26"/>
      <c r="C155" s="41">
        <f>C156+C157+C158</f>
        <v>132000</v>
      </c>
      <c r="D155" s="41">
        <f>D156+D157+D158</f>
        <v>132000</v>
      </c>
      <c r="E155" s="41"/>
      <c r="F155" s="41">
        <f>F156+F157+F158</f>
        <v>132000</v>
      </c>
      <c r="G155" s="41">
        <f>G156+G157+G158</f>
        <v>132000</v>
      </c>
      <c r="H155" s="41"/>
      <c r="I155" s="41">
        <f>I156+I157+I158</f>
        <v>290000</v>
      </c>
      <c r="J155" s="41">
        <f>J156+J157+J158</f>
        <v>290000</v>
      </c>
      <c r="K155" s="42"/>
    </row>
    <row r="156" spans="1:11" s="3" customFormat="1" ht="14.25" customHeight="1">
      <c r="A156" s="31" t="s">
        <v>24</v>
      </c>
      <c r="B156" s="26" t="s">
        <v>149</v>
      </c>
      <c r="C156" s="41"/>
      <c r="D156" s="41"/>
      <c r="E156" s="41"/>
      <c r="F156" s="41"/>
      <c r="G156" s="41"/>
      <c r="H156" s="41"/>
      <c r="I156" s="41">
        <v>22000</v>
      </c>
      <c r="J156" s="41">
        <f>I156</f>
        <v>22000</v>
      </c>
      <c r="K156" s="42"/>
    </row>
    <row r="157" spans="1:11" ht="12.75">
      <c r="A157" s="16" t="s">
        <v>103</v>
      </c>
      <c r="B157" s="26" t="s">
        <v>162</v>
      </c>
      <c r="C157" s="41">
        <v>132000</v>
      </c>
      <c r="D157" s="41">
        <f>C157</f>
        <v>132000</v>
      </c>
      <c r="E157" s="87"/>
      <c r="F157" s="41">
        <v>132000</v>
      </c>
      <c r="G157" s="41">
        <v>132000</v>
      </c>
      <c r="H157" s="87"/>
      <c r="I157" s="41">
        <v>140000</v>
      </c>
      <c r="J157" s="41">
        <f>I157</f>
        <v>140000</v>
      </c>
      <c r="K157" s="92"/>
    </row>
    <row r="158" spans="1:11" ht="13.5" thickBot="1">
      <c r="A158" s="16" t="s">
        <v>37</v>
      </c>
      <c r="B158" s="26" t="s">
        <v>163</v>
      </c>
      <c r="C158" s="87"/>
      <c r="D158" s="87"/>
      <c r="E158" s="87"/>
      <c r="F158" s="87"/>
      <c r="G158" s="87"/>
      <c r="H158" s="87"/>
      <c r="I158" s="41">
        <v>128000</v>
      </c>
      <c r="J158" s="41">
        <f>I158</f>
        <v>128000</v>
      </c>
      <c r="K158" s="92"/>
    </row>
    <row r="159" spans="1:11" ht="13.5" hidden="1" thickBot="1">
      <c r="A159" s="139"/>
      <c r="B159" s="140"/>
      <c r="C159" s="141"/>
      <c r="D159" s="141"/>
      <c r="E159" s="141"/>
      <c r="F159" s="141"/>
      <c r="G159" s="141"/>
      <c r="H159" s="141"/>
      <c r="I159" s="142"/>
      <c r="J159" s="142"/>
      <c r="K159" s="143"/>
    </row>
    <row r="160" spans="1:11" s="6" customFormat="1" ht="78" customHeight="1">
      <c r="A160" s="19" t="s">
        <v>60</v>
      </c>
      <c r="B160" s="44"/>
      <c r="C160" s="30">
        <f>C162+C163+C166+C167</f>
        <v>3294941.27</v>
      </c>
      <c r="D160" s="30">
        <f>D162+D163+D166+D167</f>
        <v>3294941.27</v>
      </c>
      <c r="E160" s="30">
        <f>E162+E163+E167</f>
        <v>0</v>
      </c>
      <c r="F160" s="30">
        <f>F162+F163+F166+F167</f>
        <v>3100000</v>
      </c>
      <c r="G160" s="30">
        <f>G162+G163+G166+G167</f>
        <v>3100000</v>
      </c>
      <c r="H160" s="30">
        <f>H162+H163+H166+H167</f>
        <v>0</v>
      </c>
      <c r="I160" s="30">
        <f>I162+I163+I166+I167</f>
        <v>3200000</v>
      </c>
      <c r="J160" s="30">
        <f>J162+J163+J166+J167</f>
        <v>3200000</v>
      </c>
      <c r="K160" s="40">
        <f>K162+K163+K167</f>
        <v>0</v>
      </c>
    </row>
    <row r="161" spans="1:11" s="124" customFormat="1" ht="12.75">
      <c r="A161" s="17" t="s">
        <v>50</v>
      </c>
      <c r="B161" s="57"/>
      <c r="C161" s="58"/>
      <c r="D161" s="58"/>
      <c r="E161" s="58"/>
      <c r="F161" s="58"/>
      <c r="G161" s="58"/>
      <c r="H161" s="58"/>
      <c r="I161" s="58"/>
      <c r="J161" s="58"/>
      <c r="K161" s="59"/>
    </row>
    <row r="162" spans="1:11" s="4" customFormat="1" ht="12.75">
      <c r="A162" s="17" t="s">
        <v>23</v>
      </c>
      <c r="B162" s="27" t="s">
        <v>193</v>
      </c>
      <c r="C162" s="22">
        <f>588312-19860.21-128141.4</f>
        <v>440310.39</v>
      </c>
      <c r="D162" s="22">
        <f>C162</f>
        <v>440310.39</v>
      </c>
      <c r="E162" s="22">
        <v>0</v>
      </c>
      <c r="F162" s="22">
        <v>650000</v>
      </c>
      <c r="G162" s="22">
        <f>F162</f>
        <v>650000</v>
      </c>
      <c r="H162" s="22">
        <v>0</v>
      </c>
      <c r="I162" s="22">
        <v>650000</v>
      </c>
      <c r="J162" s="22">
        <f>I162</f>
        <v>650000</v>
      </c>
      <c r="K162" s="23">
        <v>0</v>
      </c>
    </row>
    <row r="163" spans="1:11" s="4" customFormat="1" ht="15" customHeight="1">
      <c r="A163" s="14" t="s">
        <v>24</v>
      </c>
      <c r="B163" s="27" t="s">
        <v>194</v>
      </c>
      <c r="C163" s="22">
        <f>525692+5868+117577.55+128141.4</f>
        <v>777278.9500000001</v>
      </c>
      <c r="D163" s="22">
        <f>C163</f>
        <v>777278.9500000001</v>
      </c>
      <c r="E163" s="22">
        <f aca="true" t="shared" si="32" ref="E163:K163">E165+E164</f>
        <v>0</v>
      </c>
      <c r="F163" s="22">
        <f t="shared" si="32"/>
        <v>404000</v>
      </c>
      <c r="G163" s="22">
        <f t="shared" si="32"/>
        <v>404000</v>
      </c>
      <c r="H163" s="22">
        <f t="shared" si="32"/>
        <v>0</v>
      </c>
      <c r="I163" s="22">
        <f t="shared" si="32"/>
        <v>404000</v>
      </c>
      <c r="J163" s="22">
        <f t="shared" si="32"/>
        <v>404000</v>
      </c>
      <c r="K163" s="28">
        <f t="shared" si="32"/>
        <v>0</v>
      </c>
    </row>
    <row r="164" spans="1:11" s="15" customFormat="1" ht="23.25" customHeight="1" hidden="1">
      <c r="A164" s="14" t="s">
        <v>25</v>
      </c>
      <c r="B164" s="27" t="s">
        <v>76</v>
      </c>
      <c r="C164" s="22">
        <v>3750</v>
      </c>
      <c r="D164" s="22">
        <f>C164</f>
        <v>3750</v>
      </c>
      <c r="E164" s="22">
        <v>0</v>
      </c>
      <c r="F164" s="22">
        <v>4000</v>
      </c>
      <c r="G164" s="22">
        <f>F164</f>
        <v>4000</v>
      </c>
      <c r="H164" s="22">
        <v>0</v>
      </c>
      <c r="I164" s="22">
        <v>4000</v>
      </c>
      <c r="J164" s="22">
        <f>I164</f>
        <v>4000</v>
      </c>
      <c r="K164" s="23">
        <v>0</v>
      </c>
    </row>
    <row r="165" spans="1:11" s="6" customFormat="1" ht="15.75" customHeight="1" hidden="1">
      <c r="A165" s="14" t="s">
        <v>28</v>
      </c>
      <c r="B165" s="27" t="s">
        <v>77</v>
      </c>
      <c r="C165" s="22">
        <v>508942</v>
      </c>
      <c r="D165" s="22">
        <f>C165</f>
        <v>508942</v>
      </c>
      <c r="E165" s="22">
        <v>0</v>
      </c>
      <c r="F165" s="22">
        <v>400000</v>
      </c>
      <c r="G165" s="22">
        <f>F165</f>
        <v>400000</v>
      </c>
      <c r="H165" s="22">
        <v>0</v>
      </c>
      <c r="I165" s="22">
        <v>400000</v>
      </c>
      <c r="J165" s="22">
        <f>I165</f>
        <v>400000</v>
      </c>
      <c r="K165" s="23">
        <v>0</v>
      </c>
    </row>
    <row r="166" spans="1:11" s="6" customFormat="1" ht="14.25" customHeight="1">
      <c r="A166" s="101" t="s">
        <v>150</v>
      </c>
      <c r="B166" s="27" t="s">
        <v>195</v>
      </c>
      <c r="C166" s="22">
        <f>35000-4239.8</f>
        <v>30760.2</v>
      </c>
      <c r="D166" s="22">
        <f>C166</f>
        <v>30760.2</v>
      </c>
      <c r="E166" s="22"/>
      <c r="F166" s="22">
        <v>0</v>
      </c>
      <c r="G166" s="22">
        <f>F166</f>
        <v>0</v>
      </c>
      <c r="H166" s="22"/>
      <c r="I166" s="22">
        <v>0</v>
      </c>
      <c r="J166" s="22">
        <f>I166</f>
        <v>0</v>
      </c>
      <c r="K166" s="23"/>
    </row>
    <row r="167" spans="1:11" s="8" customFormat="1" ht="12" customHeight="1">
      <c r="A167" s="65" t="s">
        <v>33</v>
      </c>
      <c r="B167" s="66" t="s">
        <v>196</v>
      </c>
      <c r="C167" s="67">
        <f aca="true" t="shared" si="33" ref="C167:K167">C169+C172</f>
        <v>2046591.73</v>
      </c>
      <c r="D167" s="67">
        <f t="shared" si="33"/>
        <v>2046591.73</v>
      </c>
      <c r="E167" s="67">
        <f t="shared" si="33"/>
        <v>0</v>
      </c>
      <c r="F167" s="67">
        <f t="shared" si="33"/>
        <v>2046000</v>
      </c>
      <c r="G167" s="67">
        <f t="shared" si="33"/>
        <v>2046000</v>
      </c>
      <c r="H167" s="67">
        <f t="shared" si="33"/>
        <v>0</v>
      </c>
      <c r="I167" s="67">
        <f t="shared" si="33"/>
        <v>2146000</v>
      </c>
      <c r="J167" s="67">
        <f t="shared" si="33"/>
        <v>2146000</v>
      </c>
      <c r="K167" s="68">
        <f t="shared" si="33"/>
        <v>0</v>
      </c>
    </row>
    <row r="168" spans="1:11" s="8" customFormat="1" ht="12.75">
      <c r="A168" s="13" t="s">
        <v>12</v>
      </c>
      <c r="B168" s="27"/>
      <c r="C168" s="36"/>
      <c r="D168" s="36"/>
      <c r="E168" s="36"/>
      <c r="F168" s="36"/>
      <c r="G168" s="36"/>
      <c r="H168" s="36"/>
      <c r="I168" s="36"/>
      <c r="J168" s="36"/>
      <c r="K168" s="60"/>
    </row>
    <row r="169" spans="1:11" s="4" customFormat="1" ht="12.75">
      <c r="A169" s="14" t="s">
        <v>37</v>
      </c>
      <c r="B169" s="27" t="s">
        <v>190</v>
      </c>
      <c r="C169" s="22">
        <f>C170+C171+56261.98</f>
        <v>292761.98</v>
      </c>
      <c r="D169" s="22">
        <f>D170+D171+56261.98</f>
        <v>292761.98</v>
      </c>
      <c r="E169" s="22">
        <f aca="true" t="shared" si="34" ref="E169:K169">E170+E171</f>
        <v>0</v>
      </c>
      <c r="F169" s="22">
        <f t="shared" si="34"/>
        <v>340000</v>
      </c>
      <c r="G169" s="22">
        <f t="shared" si="34"/>
        <v>340000</v>
      </c>
      <c r="H169" s="22">
        <f t="shared" si="34"/>
        <v>0</v>
      </c>
      <c r="I169" s="22">
        <f t="shared" si="34"/>
        <v>340000</v>
      </c>
      <c r="J169" s="22">
        <f t="shared" si="34"/>
        <v>340000</v>
      </c>
      <c r="K169" s="23">
        <f t="shared" si="34"/>
        <v>0</v>
      </c>
    </row>
    <row r="170" spans="1:11" s="6" customFormat="1" ht="12.75" hidden="1">
      <c r="A170" s="14" t="s">
        <v>35</v>
      </c>
      <c r="B170" s="27" t="s">
        <v>78</v>
      </c>
      <c r="C170" s="22">
        <v>236500</v>
      </c>
      <c r="D170" s="22">
        <f aca="true" t="shared" si="35" ref="D170:D175">C170</f>
        <v>236500</v>
      </c>
      <c r="E170" s="22">
        <v>0</v>
      </c>
      <c r="F170" s="22">
        <v>300000</v>
      </c>
      <c r="G170" s="22">
        <v>300000</v>
      </c>
      <c r="H170" s="22">
        <v>0</v>
      </c>
      <c r="I170" s="22">
        <v>300000</v>
      </c>
      <c r="J170" s="22">
        <v>300000</v>
      </c>
      <c r="K170" s="23">
        <v>0</v>
      </c>
    </row>
    <row r="171" spans="1:11" s="6" customFormat="1" ht="25.5" hidden="1">
      <c r="A171" s="14" t="s">
        <v>59</v>
      </c>
      <c r="B171" s="27" t="s">
        <v>79</v>
      </c>
      <c r="C171" s="22">
        <v>0</v>
      </c>
      <c r="D171" s="22">
        <f t="shared" si="35"/>
        <v>0</v>
      </c>
      <c r="E171" s="22">
        <v>0</v>
      </c>
      <c r="F171" s="22">
        <v>40000</v>
      </c>
      <c r="G171" s="22">
        <f>F171</f>
        <v>40000</v>
      </c>
      <c r="H171" s="22">
        <v>0</v>
      </c>
      <c r="I171" s="22">
        <v>40000</v>
      </c>
      <c r="J171" s="22">
        <f>I171</f>
        <v>40000</v>
      </c>
      <c r="K171" s="23">
        <v>0</v>
      </c>
    </row>
    <row r="172" spans="1:11" s="4" customFormat="1" ht="25.5" customHeight="1" thickBot="1">
      <c r="A172" s="18" t="s">
        <v>38</v>
      </c>
      <c r="B172" s="29" t="s">
        <v>186</v>
      </c>
      <c r="C172" s="63">
        <f>C173+C174+C175-5868+100602.75</f>
        <v>1753829.75</v>
      </c>
      <c r="D172" s="63">
        <f t="shared" si="35"/>
        <v>1753829.75</v>
      </c>
      <c r="E172" s="63">
        <f>SUM(E173:E175)</f>
        <v>0</v>
      </c>
      <c r="F172" s="63">
        <f>F173+F174+F175</f>
        <v>1706000</v>
      </c>
      <c r="G172" s="63">
        <f>F172</f>
        <v>1706000</v>
      </c>
      <c r="H172" s="63">
        <f>SUM(H173:H175)</f>
        <v>0</v>
      </c>
      <c r="I172" s="63">
        <f>I173+I174+I175</f>
        <v>1806000</v>
      </c>
      <c r="J172" s="63">
        <f>I172</f>
        <v>1806000</v>
      </c>
      <c r="K172" s="64">
        <f>SUM(K173:K175)</f>
        <v>0</v>
      </c>
    </row>
    <row r="173" spans="1:11" s="6" customFormat="1" ht="12.75" hidden="1">
      <c r="A173" s="17" t="s">
        <v>40</v>
      </c>
      <c r="B173" s="57" t="s">
        <v>80</v>
      </c>
      <c r="C173" s="58">
        <v>1310470</v>
      </c>
      <c r="D173" s="58">
        <f t="shared" si="35"/>
        <v>1310470</v>
      </c>
      <c r="E173" s="58">
        <v>0</v>
      </c>
      <c r="F173" s="58">
        <v>1310000</v>
      </c>
      <c r="G173" s="58">
        <f>F173</f>
        <v>1310000</v>
      </c>
      <c r="H173" s="58">
        <v>0</v>
      </c>
      <c r="I173" s="58">
        <v>1410000</v>
      </c>
      <c r="J173" s="58">
        <f>I173</f>
        <v>1410000</v>
      </c>
      <c r="K173" s="59">
        <v>0</v>
      </c>
    </row>
    <row r="174" spans="1:11" s="6" customFormat="1" ht="12.75" hidden="1">
      <c r="A174" s="14" t="s">
        <v>42</v>
      </c>
      <c r="B174" s="27" t="s">
        <v>81</v>
      </c>
      <c r="C174" s="22">
        <v>250000</v>
      </c>
      <c r="D174" s="22">
        <f t="shared" si="35"/>
        <v>250000</v>
      </c>
      <c r="E174" s="22">
        <v>0</v>
      </c>
      <c r="F174" s="22">
        <v>300000</v>
      </c>
      <c r="G174" s="22">
        <f>F174</f>
        <v>300000</v>
      </c>
      <c r="H174" s="22">
        <v>0</v>
      </c>
      <c r="I174" s="22">
        <v>300000</v>
      </c>
      <c r="J174" s="22">
        <f>I174</f>
        <v>300000</v>
      </c>
      <c r="K174" s="23">
        <v>0</v>
      </c>
    </row>
    <row r="175" spans="1:11" s="6" customFormat="1" ht="0.75" customHeight="1" hidden="1" thickBot="1">
      <c r="A175" s="18" t="s">
        <v>43</v>
      </c>
      <c r="B175" s="29" t="s">
        <v>70</v>
      </c>
      <c r="C175" s="63">
        <f>121625-10000-13000</f>
        <v>98625</v>
      </c>
      <c r="D175" s="63">
        <f t="shared" si="35"/>
        <v>98625</v>
      </c>
      <c r="E175" s="63">
        <v>0</v>
      </c>
      <c r="F175" s="63">
        <v>96000</v>
      </c>
      <c r="G175" s="63">
        <f>F175</f>
        <v>96000</v>
      </c>
      <c r="H175" s="63">
        <v>0</v>
      </c>
      <c r="I175" s="63">
        <v>96000</v>
      </c>
      <c r="J175" s="63">
        <f>I175</f>
        <v>96000</v>
      </c>
      <c r="K175" s="64">
        <v>0</v>
      </c>
    </row>
    <row r="176" spans="1:11" s="6" customFormat="1" ht="25.5">
      <c r="A176" s="19" t="s">
        <v>185</v>
      </c>
      <c r="B176" s="44"/>
      <c r="C176" s="30">
        <f>C177+C180+C181+C184+C185+C190+C191</f>
        <v>1336000</v>
      </c>
      <c r="D176" s="30">
        <f>D177+D180+D181+D184+D185+D190+D191</f>
        <v>1336000</v>
      </c>
      <c r="E176" s="30">
        <f>E177+E180+E182+E183+E184+E185+E190+E191</f>
        <v>0</v>
      </c>
      <c r="F176" s="30"/>
      <c r="G176" s="30"/>
      <c r="H176" s="30">
        <f>H177+H180+H182+H183+H184+H185+H190+H191</f>
        <v>0</v>
      </c>
      <c r="I176" s="30">
        <f>I177+I180+I182+I183+I184+I185+I190+I191</f>
        <v>0</v>
      </c>
      <c r="J176" s="30">
        <f>J177+J180+J182+J183+J184+J185+J190+J191</f>
        <v>0</v>
      </c>
      <c r="K176" s="40">
        <f>K180+K185+K190+K191</f>
        <v>0</v>
      </c>
    </row>
    <row r="177" spans="1:11" s="6" customFormat="1" ht="25.5">
      <c r="A177" s="17" t="s">
        <v>66</v>
      </c>
      <c r="B177" s="27" t="s">
        <v>187</v>
      </c>
      <c r="C177" s="58">
        <f>C178</f>
        <v>1400</v>
      </c>
      <c r="D177" s="58">
        <f>D178</f>
        <v>1400</v>
      </c>
      <c r="E177" s="58">
        <f>E179</f>
        <v>0</v>
      </c>
      <c r="F177" s="58"/>
      <c r="G177" s="58"/>
      <c r="H177" s="58">
        <f>H179</f>
        <v>0</v>
      </c>
      <c r="I177" s="58"/>
      <c r="J177" s="58"/>
      <c r="K177" s="59"/>
    </row>
    <row r="178" spans="1:11" s="6" customFormat="1" ht="12.75">
      <c r="A178" s="14" t="s">
        <v>14</v>
      </c>
      <c r="B178" s="27" t="s">
        <v>197</v>
      </c>
      <c r="C178" s="58">
        <f>6000-4600</f>
        <v>1400</v>
      </c>
      <c r="D178" s="58">
        <f>C178</f>
        <v>1400</v>
      </c>
      <c r="E178" s="58"/>
      <c r="F178" s="58"/>
      <c r="G178" s="58"/>
      <c r="H178" s="58"/>
      <c r="I178" s="58"/>
      <c r="J178" s="58"/>
      <c r="K178" s="59"/>
    </row>
    <row r="179" spans="1:11" s="6" customFormat="1" ht="12.75" hidden="1">
      <c r="A179" s="17" t="s">
        <v>15</v>
      </c>
      <c r="B179" s="27" t="s">
        <v>82</v>
      </c>
      <c r="C179" s="58">
        <v>6000</v>
      </c>
      <c r="D179" s="22">
        <f>C179</f>
        <v>6000</v>
      </c>
      <c r="E179" s="58"/>
      <c r="F179" s="58"/>
      <c r="G179" s="22"/>
      <c r="H179" s="58"/>
      <c r="I179" s="58"/>
      <c r="J179" s="58"/>
      <c r="K179" s="59"/>
    </row>
    <row r="180" spans="1:11" s="6" customFormat="1" ht="12.75">
      <c r="A180" s="14" t="s">
        <v>57</v>
      </c>
      <c r="B180" s="27" t="s">
        <v>191</v>
      </c>
      <c r="C180" s="22">
        <f>24000+4320</f>
        <v>28320</v>
      </c>
      <c r="D180" s="22">
        <f>C180</f>
        <v>28320</v>
      </c>
      <c r="E180" s="22">
        <v>0</v>
      </c>
      <c r="F180" s="22"/>
      <c r="G180" s="22"/>
      <c r="H180" s="22">
        <v>0</v>
      </c>
      <c r="I180" s="22">
        <v>0</v>
      </c>
      <c r="J180" s="22">
        <v>0</v>
      </c>
      <c r="K180" s="23">
        <v>0</v>
      </c>
    </row>
    <row r="181" spans="1:11" s="6" customFormat="1" ht="12.75">
      <c r="A181" s="35" t="s">
        <v>21</v>
      </c>
      <c r="B181" s="27" t="s">
        <v>198</v>
      </c>
      <c r="C181" s="22">
        <f>C182+C183-915-5839.4</f>
        <v>54484.6</v>
      </c>
      <c r="D181" s="22">
        <f>D182+D183-915-5839.4</f>
        <v>54484.6</v>
      </c>
      <c r="E181" s="22">
        <f aca="true" t="shared" si="36" ref="E181:J181">E182+E183</f>
        <v>0</v>
      </c>
      <c r="F181" s="22">
        <f t="shared" si="36"/>
        <v>0</v>
      </c>
      <c r="G181" s="22">
        <f t="shared" si="36"/>
        <v>0</v>
      </c>
      <c r="H181" s="22">
        <f t="shared" si="36"/>
        <v>0</v>
      </c>
      <c r="I181" s="22">
        <f t="shared" si="36"/>
        <v>0</v>
      </c>
      <c r="J181" s="22">
        <f t="shared" si="36"/>
        <v>0</v>
      </c>
      <c r="K181" s="23"/>
    </row>
    <row r="182" spans="1:11" s="6" customFormat="1" ht="12.75" hidden="1">
      <c r="A182" s="14" t="s">
        <v>15</v>
      </c>
      <c r="B182" s="27" t="s">
        <v>83</v>
      </c>
      <c r="C182" s="22">
        <f>12500+20092-5000+3647</f>
        <v>31239</v>
      </c>
      <c r="D182" s="22">
        <f>C182</f>
        <v>31239</v>
      </c>
      <c r="E182" s="22"/>
      <c r="F182" s="22"/>
      <c r="G182" s="22"/>
      <c r="H182" s="22"/>
      <c r="I182" s="22"/>
      <c r="J182" s="22"/>
      <c r="K182" s="23"/>
    </row>
    <row r="183" spans="1:11" s="6" customFormat="1" ht="12.75" hidden="1">
      <c r="A183" s="14" t="s">
        <v>22</v>
      </c>
      <c r="B183" s="27" t="s">
        <v>88</v>
      </c>
      <c r="C183" s="22">
        <v>30000</v>
      </c>
      <c r="D183" s="22">
        <f>C183</f>
        <v>30000</v>
      </c>
      <c r="E183" s="22"/>
      <c r="F183" s="22"/>
      <c r="G183" s="22"/>
      <c r="H183" s="22"/>
      <c r="I183" s="22"/>
      <c r="J183" s="22"/>
      <c r="K183" s="23"/>
    </row>
    <row r="184" spans="1:11" s="6" customFormat="1" ht="13.5" customHeight="1">
      <c r="A184" s="35" t="s">
        <v>24</v>
      </c>
      <c r="B184" s="27" t="s">
        <v>194</v>
      </c>
      <c r="C184" s="22"/>
      <c r="D184" s="22">
        <f>C184</f>
        <v>0</v>
      </c>
      <c r="E184" s="22">
        <v>0</v>
      </c>
      <c r="F184" s="22"/>
      <c r="G184" s="22"/>
      <c r="H184" s="22">
        <v>0</v>
      </c>
      <c r="I184" s="22">
        <v>0</v>
      </c>
      <c r="J184" s="22">
        <v>0</v>
      </c>
      <c r="K184" s="23">
        <v>0</v>
      </c>
    </row>
    <row r="185" spans="1:11" s="6" customFormat="1" ht="12.75">
      <c r="A185" s="14" t="s">
        <v>30</v>
      </c>
      <c r="B185" s="27" t="s">
        <v>192</v>
      </c>
      <c r="C185" s="22">
        <f>C186+C188+C189+C187-47000-8949.25</f>
        <v>591533.75</v>
      </c>
      <c r="D185" s="22">
        <f>D186+D188+D189+D187-47000-8949.25</f>
        <v>591533.75</v>
      </c>
      <c r="E185" s="22">
        <f>E186+E188+E189+E187</f>
        <v>0</v>
      </c>
      <c r="F185" s="22"/>
      <c r="G185" s="22"/>
      <c r="H185" s="22">
        <f>H186+H188+H189+H187</f>
        <v>0</v>
      </c>
      <c r="I185" s="22">
        <f>I186+I188+I189+I187</f>
        <v>0</v>
      </c>
      <c r="J185" s="22">
        <f>J186+J188+J189+J187</f>
        <v>0</v>
      </c>
      <c r="K185" s="28">
        <v>0</v>
      </c>
    </row>
    <row r="186" spans="1:11" s="6" customFormat="1" ht="12.75" hidden="1">
      <c r="A186" s="14" t="s">
        <v>46</v>
      </c>
      <c r="B186" s="27" t="s">
        <v>89</v>
      </c>
      <c r="C186" s="61">
        <v>10000</v>
      </c>
      <c r="D186" s="22">
        <f>C186</f>
        <v>10000</v>
      </c>
      <c r="E186" s="61">
        <v>0</v>
      </c>
      <c r="F186" s="61"/>
      <c r="G186" s="22"/>
      <c r="H186" s="61">
        <v>0</v>
      </c>
      <c r="I186" s="61">
        <v>0</v>
      </c>
      <c r="J186" s="61">
        <v>0</v>
      </c>
      <c r="K186" s="62">
        <v>0</v>
      </c>
    </row>
    <row r="187" spans="1:11" s="6" customFormat="1" ht="12.75" hidden="1">
      <c r="A187" s="14" t="s">
        <v>15</v>
      </c>
      <c r="B187" s="27" t="s">
        <v>84</v>
      </c>
      <c r="C187" s="61">
        <f>27000+22000+2475</f>
        <v>51475</v>
      </c>
      <c r="D187" s="22">
        <f>C187</f>
        <v>51475</v>
      </c>
      <c r="E187" s="61">
        <v>0</v>
      </c>
      <c r="F187" s="61"/>
      <c r="G187" s="22"/>
      <c r="H187" s="61">
        <v>0</v>
      </c>
      <c r="I187" s="61">
        <v>0</v>
      </c>
      <c r="J187" s="61">
        <v>0</v>
      </c>
      <c r="K187" s="62">
        <v>0</v>
      </c>
    </row>
    <row r="188" spans="1:11" s="6" customFormat="1" ht="25.5" hidden="1">
      <c r="A188" s="14" t="s">
        <v>65</v>
      </c>
      <c r="B188" s="27" t="s">
        <v>85</v>
      </c>
      <c r="C188" s="22">
        <v>16500</v>
      </c>
      <c r="D188" s="22">
        <f>C188</f>
        <v>16500</v>
      </c>
      <c r="E188" s="22">
        <v>0</v>
      </c>
      <c r="F188" s="22"/>
      <c r="G188" s="22"/>
      <c r="H188" s="22">
        <v>0</v>
      </c>
      <c r="I188" s="22">
        <v>0</v>
      </c>
      <c r="J188" s="22">
        <v>0</v>
      </c>
      <c r="K188" s="23">
        <v>0</v>
      </c>
    </row>
    <row r="189" spans="1:11" s="6" customFormat="1" ht="25.5" hidden="1">
      <c r="A189" s="14" t="s">
        <v>32</v>
      </c>
      <c r="B189" s="27" t="s">
        <v>86</v>
      </c>
      <c r="C189" s="22">
        <f>108200+467308-6000</f>
        <v>569508</v>
      </c>
      <c r="D189" s="22">
        <f>C189</f>
        <v>569508</v>
      </c>
      <c r="E189" s="22">
        <v>0</v>
      </c>
      <c r="F189" s="22"/>
      <c r="G189" s="22"/>
      <c r="H189" s="22">
        <v>0</v>
      </c>
      <c r="I189" s="22">
        <v>0</v>
      </c>
      <c r="J189" s="22">
        <v>0</v>
      </c>
      <c r="K189" s="23">
        <v>0</v>
      </c>
    </row>
    <row r="190" spans="1:11" s="6" customFormat="1" ht="12.75">
      <c r="A190" s="14" t="s">
        <v>150</v>
      </c>
      <c r="B190" s="27" t="s">
        <v>195</v>
      </c>
      <c r="C190" s="22">
        <v>500</v>
      </c>
      <c r="D190" s="22">
        <f>C190</f>
        <v>500</v>
      </c>
      <c r="E190" s="22">
        <v>0</v>
      </c>
      <c r="F190" s="22"/>
      <c r="G190" s="22"/>
      <c r="H190" s="22">
        <v>0</v>
      </c>
      <c r="I190" s="22">
        <v>0</v>
      </c>
      <c r="J190" s="22">
        <v>0</v>
      </c>
      <c r="K190" s="23">
        <v>0</v>
      </c>
    </row>
    <row r="191" spans="1:11" s="6" customFormat="1" ht="15" customHeight="1">
      <c r="A191" s="13" t="s">
        <v>33</v>
      </c>
      <c r="B191" s="7" t="s">
        <v>196</v>
      </c>
      <c r="C191" s="36">
        <f>C193+C197</f>
        <v>659761.6499999999</v>
      </c>
      <c r="D191" s="36">
        <f>D193+D197</f>
        <v>659761.6499999999</v>
      </c>
      <c r="E191" s="22">
        <v>0</v>
      </c>
      <c r="F191" s="36"/>
      <c r="G191" s="36"/>
      <c r="H191" s="22">
        <v>0</v>
      </c>
      <c r="I191" s="22">
        <v>0</v>
      </c>
      <c r="J191" s="22">
        <v>0</v>
      </c>
      <c r="K191" s="23">
        <v>0</v>
      </c>
    </row>
    <row r="192" spans="1:11" s="6" customFormat="1" ht="12.75" customHeight="1">
      <c r="A192" s="13" t="s">
        <v>12</v>
      </c>
      <c r="B192" s="7"/>
      <c r="C192" s="22"/>
      <c r="D192" s="22">
        <f>C192</f>
        <v>0</v>
      </c>
      <c r="E192" s="22"/>
      <c r="F192" s="22"/>
      <c r="G192" s="22"/>
      <c r="H192" s="22"/>
      <c r="I192" s="22"/>
      <c r="J192" s="22"/>
      <c r="K192" s="23"/>
    </row>
    <row r="193" spans="1:11" s="4" customFormat="1" ht="14.25" customHeight="1">
      <c r="A193" s="14" t="s">
        <v>37</v>
      </c>
      <c r="B193" s="27" t="s">
        <v>190</v>
      </c>
      <c r="C193" s="22">
        <f>SUM(C194:C196)+48325+7000+11949.8</f>
        <v>359412.8</v>
      </c>
      <c r="D193" s="22">
        <f>SUM(D194:D196)+48325+7000+11949.8</f>
        <v>359412.8</v>
      </c>
      <c r="E193" s="22">
        <f>SUM(E194:E196)</f>
        <v>0</v>
      </c>
      <c r="F193" s="22"/>
      <c r="G193" s="22"/>
      <c r="H193" s="22">
        <f>SUM(H194:H196)</f>
        <v>0</v>
      </c>
      <c r="I193" s="22">
        <f>SUM(I194:I196)</f>
        <v>0</v>
      </c>
      <c r="J193" s="22">
        <f>SUM(J194:J196)</f>
        <v>0</v>
      </c>
      <c r="K193" s="23">
        <v>0</v>
      </c>
    </row>
    <row r="194" spans="1:11" s="6" customFormat="1" ht="16.5" customHeight="1" hidden="1">
      <c r="A194" s="14" t="s">
        <v>34</v>
      </c>
      <c r="B194" s="27" t="s">
        <v>69</v>
      </c>
      <c r="C194" s="22">
        <f>30000+43878</f>
        <v>73878</v>
      </c>
      <c r="D194" s="22">
        <f>C194</f>
        <v>73878</v>
      </c>
      <c r="E194" s="22">
        <v>0</v>
      </c>
      <c r="F194" s="22"/>
      <c r="G194" s="22"/>
      <c r="H194" s="22">
        <v>0</v>
      </c>
      <c r="I194" s="22">
        <v>0</v>
      </c>
      <c r="J194" s="22">
        <v>0</v>
      </c>
      <c r="K194" s="23">
        <v>0</v>
      </c>
    </row>
    <row r="195" spans="1:11" s="6" customFormat="1" ht="25.5" customHeight="1" hidden="1">
      <c r="A195" s="14" t="s">
        <v>35</v>
      </c>
      <c r="B195" s="27" t="s">
        <v>78</v>
      </c>
      <c r="C195" s="22">
        <v>119430</v>
      </c>
      <c r="D195" s="22">
        <f>C195</f>
        <v>119430</v>
      </c>
      <c r="E195" s="22">
        <v>0</v>
      </c>
      <c r="F195" s="22"/>
      <c r="G195" s="22"/>
      <c r="H195" s="22">
        <v>0</v>
      </c>
      <c r="I195" s="22">
        <v>0</v>
      </c>
      <c r="J195" s="22">
        <v>0</v>
      </c>
      <c r="K195" s="23">
        <v>0</v>
      </c>
    </row>
    <row r="196" spans="1:11" s="6" customFormat="1" ht="24.75" customHeight="1" hidden="1">
      <c r="A196" s="14" t="s">
        <v>36</v>
      </c>
      <c r="B196" s="27" t="s">
        <v>79</v>
      </c>
      <c r="C196" s="22">
        <f>92830-10000+6000+10000</f>
        <v>98830</v>
      </c>
      <c r="D196" s="22">
        <f>C196</f>
        <v>98830</v>
      </c>
      <c r="E196" s="22">
        <v>0</v>
      </c>
      <c r="F196" s="22"/>
      <c r="G196" s="22"/>
      <c r="H196" s="22">
        <v>0</v>
      </c>
      <c r="I196" s="22">
        <v>0</v>
      </c>
      <c r="J196" s="22">
        <v>0</v>
      </c>
      <c r="K196" s="23">
        <v>0</v>
      </c>
    </row>
    <row r="197" spans="1:11" s="4" customFormat="1" ht="24.75" customHeight="1" thickBot="1">
      <c r="A197" s="14" t="s">
        <v>38</v>
      </c>
      <c r="B197" s="27" t="s">
        <v>186</v>
      </c>
      <c r="C197" s="22">
        <f>C198+C199-130+2838.85</f>
        <v>300348.85</v>
      </c>
      <c r="D197" s="22">
        <f>D198+D199-130+2838.85</f>
        <v>300348.85</v>
      </c>
      <c r="E197" s="22">
        <f>E200+E202+E204+E206+E208</f>
        <v>0</v>
      </c>
      <c r="F197" s="22"/>
      <c r="G197" s="22"/>
      <c r="H197" s="22">
        <f>H200+H202+H204+H206+H208</f>
        <v>0</v>
      </c>
      <c r="I197" s="22">
        <v>0</v>
      </c>
      <c r="J197" s="22">
        <f>I197</f>
        <v>0</v>
      </c>
      <c r="K197" s="23">
        <f>K200+K202+K204+K206+K208</f>
        <v>0</v>
      </c>
    </row>
    <row r="198" spans="1:11" s="6" customFormat="1" ht="12.75" hidden="1">
      <c r="A198" s="35" t="s">
        <v>40</v>
      </c>
      <c r="B198" s="27" t="s">
        <v>80</v>
      </c>
      <c r="C198" s="61">
        <v>8000</v>
      </c>
      <c r="D198" s="61">
        <f>C198</f>
        <v>8000</v>
      </c>
      <c r="E198" s="61">
        <v>0</v>
      </c>
      <c r="F198" s="61"/>
      <c r="G198" s="61"/>
      <c r="H198" s="61">
        <v>0</v>
      </c>
      <c r="I198" s="61">
        <v>0</v>
      </c>
      <c r="J198" s="61">
        <v>0</v>
      </c>
      <c r="K198" s="62">
        <v>0</v>
      </c>
    </row>
    <row r="199" spans="1:11" s="6" customFormat="1" ht="26.25" hidden="1" thickBot="1">
      <c r="A199" s="18" t="s">
        <v>43</v>
      </c>
      <c r="B199" s="29" t="s">
        <v>70</v>
      </c>
      <c r="C199" s="63">
        <f>157540+62100+70000</f>
        <v>289640</v>
      </c>
      <c r="D199" s="63">
        <f>C199</f>
        <v>289640</v>
      </c>
      <c r="E199" s="63">
        <v>0</v>
      </c>
      <c r="F199" s="63"/>
      <c r="G199" s="63"/>
      <c r="H199" s="63">
        <v>0</v>
      </c>
      <c r="I199" s="63">
        <v>0</v>
      </c>
      <c r="J199" s="63">
        <v>0</v>
      </c>
      <c r="K199" s="64">
        <v>0</v>
      </c>
    </row>
    <row r="200" spans="1:11" s="5" customFormat="1" ht="17.25" customHeight="1" thickBot="1">
      <c r="A200" s="20" t="s">
        <v>56</v>
      </c>
      <c r="B200" s="47"/>
      <c r="C200" s="49">
        <f aca="true" t="shared" si="37" ref="C200:J200">C13+C9-C29</f>
        <v>0</v>
      </c>
      <c r="D200" s="49">
        <f t="shared" si="37"/>
        <v>0</v>
      </c>
      <c r="E200" s="49">
        <f t="shared" si="37"/>
        <v>0</v>
      </c>
      <c r="F200" s="49">
        <f t="shared" si="37"/>
        <v>0</v>
      </c>
      <c r="G200" s="49">
        <f t="shared" si="37"/>
        <v>0</v>
      </c>
      <c r="H200" s="49">
        <f t="shared" si="37"/>
        <v>0</v>
      </c>
      <c r="I200" s="49">
        <f t="shared" si="37"/>
        <v>0</v>
      </c>
      <c r="J200" s="49">
        <f t="shared" si="37"/>
        <v>0</v>
      </c>
      <c r="K200" s="49">
        <f>K13-K29</f>
        <v>0</v>
      </c>
    </row>
  </sheetData>
  <sheetProtection/>
  <mergeCells count="35">
    <mergeCell ref="B42:B43"/>
    <mergeCell ref="C42:C43"/>
    <mergeCell ref="E42:E43"/>
    <mergeCell ref="A2:K2"/>
    <mergeCell ref="A4:A7"/>
    <mergeCell ref="B4:B7"/>
    <mergeCell ref="C4:E4"/>
    <mergeCell ref="F4:K4"/>
    <mergeCell ref="F5:H5"/>
    <mergeCell ref="I6:I7"/>
    <mergeCell ref="I5:K5"/>
    <mergeCell ref="F33:F34"/>
    <mergeCell ref="C33:C34"/>
    <mergeCell ref="I42:I43"/>
    <mergeCell ref="J42:J43"/>
    <mergeCell ref="F42:F43"/>
    <mergeCell ref="G42:G43"/>
    <mergeCell ref="A42:A43"/>
    <mergeCell ref="J6:K6"/>
    <mergeCell ref="K33:K34"/>
    <mergeCell ref="B33:B34"/>
    <mergeCell ref="K42:K43"/>
    <mergeCell ref="D42:D43"/>
    <mergeCell ref="H42:H43"/>
    <mergeCell ref="G6:H6"/>
    <mergeCell ref="A33:A34"/>
    <mergeCell ref="F6:F7"/>
    <mergeCell ref="J33:J34"/>
    <mergeCell ref="H33:H34"/>
    <mergeCell ref="I33:I34"/>
    <mergeCell ref="G33:G34"/>
    <mergeCell ref="D33:D34"/>
    <mergeCell ref="E33:E34"/>
    <mergeCell ref="C5:C7"/>
    <mergeCell ref="D5:E6"/>
  </mergeCells>
  <printOptions/>
  <pageMargins left="0.24" right="0.16" top="0.28" bottom="0.2" header="0.2" footer="0.2"/>
  <pageSetup fitToHeight="1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Валера</cp:lastModifiedBy>
  <cp:lastPrinted>2014-12-23T10:25:08Z</cp:lastPrinted>
  <dcterms:created xsi:type="dcterms:W3CDTF">1996-10-08T23:32:33Z</dcterms:created>
  <dcterms:modified xsi:type="dcterms:W3CDTF">2014-12-26T08:49:36Z</dcterms:modified>
  <cp:category/>
  <cp:version/>
  <cp:contentType/>
  <cp:contentStatus/>
</cp:coreProperties>
</file>